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Extreme Pro/6. 文章发表/3.撰稿中 13/SCI 1-CDDS成本分析（程文迪一作王海银共一郑寅通讯）-TAD/"/>
    </mc:Choice>
  </mc:AlternateContent>
  <xr:revisionPtr revIDLastSave="0" documentId="13_ncr:1_{714A88ED-C7AC-1F48-B6D4-3B8365F53CBE}" xr6:coauthVersionLast="47" xr6:coauthVersionMax="47" xr10:uidLastSave="{00000000-0000-0000-0000-000000000000}"/>
  <bookViews>
    <workbookView xWindow="31420" yWindow="500" windowWidth="36580" windowHeight="19600" xr2:uid="{00000000-000D-0000-FFFF-FFFF00000000}"/>
  </bookViews>
  <sheets>
    <sheet name="Scenario 1" sheetId="7" r:id="rId1"/>
    <sheet name="Scenario 2&amp;3" sheetId="11" r:id="rId2"/>
    <sheet name="Results graph" sheetId="9" r:id="rId3"/>
    <sheet name=" labor costs" sheetId="1" r:id="rId4"/>
    <sheet name="equipment costs" sheetId="3" r:id="rId5"/>
    <sheet name="consumable costs" sheetId="2" r:id="rId6"/>
    <sheet name="indirect costs" sheetId="4" r:id="rId7"/>
    <sheet name="Remuneration scales for staff" sheetId="5" r:id="rId8"/>
    <sheet name="Unit price of consumables" sheetId="6" r:id="rId9"/>
    <sheet name="Questionnaire Chief of Nephrol 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9" l="1"/>
  <c r="B96" i="9" s="1"/>
  <c r="C77" i="9"/>
  <c r="C96" i="9" s="1"/>
  <c r="D77" i="9"/>
  <c r="D96" i="9" s="1"/>
  <c r="E77" i="9"/>
  <c r="E96" i="9" s="1"/>
  <c r="F77" i="9"/>
  <c r="F96" i="9" s="1"/>
  <c r="G77" i="9"/>
  <c r="G96" i="9" s="1"/>
  <c r="H77" i="9"/>
  <c r="H96" i="9" s="1"/>
  <c r="I77" i="9"/>
  <c r="I96" i="9" s="1"/>
  <c r="J77" i="9"/>
  <c r="J96" i="9" s="1"/>
  <c r="K77" i="9"/>
  <c r="K96" i="9" s="1"/>
  <c r="L77" i="9"/>
  <c r="L96" i="9" s="1"/>
  <c r="M77" i="9"/>
  <c r="M96" i="9" s="1"/>
  <c r="N77" i="9"/>
  <c r="N96" i="9" s="1"/>
  <c r="O77" i="9"/>
  <c r="O96" i="9" s="1"/>
  <c r="P77" i="9"/>
  <c r="P96" i="9" s="1"/>
  <c r="Q77" i="9"/>
  <c r="Q96" i="9" s="1"/>
  <c r="B78" i="9"/>
  <c r="B108" i="9" s="1"/>
  <c r="C78" i="9"/>
  <c r="C108" i="9" s="1"/>
  <c r="D78" i="9"/>
  <c r="D108" i="9" s="1"/>
  <c r="E78" i="9"/>
  <c r="E108" i="9" s="1"/>
  <c r="F78" i="9"/>
  <c r="F108" i="9" s="1"/>
  <c r="G78" i="9"/>
  <c r="G108" i="9" s="1"/>
  <c r="H78" i="9"/>
  <c r="H108" i="9" s="1"/>
  <c r="I78" i="9"/>
  <c r="I108" i="9" s="1"/>
  <c r="J78" i="9"/>
  <c r="J108" i="9" s="1"/>
  <c r="K78" i="9"/>
  <c r="K108" i="9" s="1"/>
  <c r="L78" i="9"/>
  <c r="L108" i="9" s="1"/>
  <c r="M78" i="9"/>
  <c r="M108" i="9" s="1"/>
  <c r="N78" i="9"/>
  <c r="N108" i="9" s="1"/>
  <c r="O78" i="9"/>
  <c r="O108" i="9" s="1"/>
  <c r="P78" i="9"/>
  <c r="P108" i="9" s="1"/>
  <c r="Q78" i="9"/>
  <c r="Q108" i="9" s="1"/>
  <c r="B79" i="9"/>
  <c r="B120" i="9" s="1"/>
  <c r="C79" i="9"/>
  <c r="C120" i="9" s="1"/>
  <c r="D79" i="9"/>
  <c r="D120" i="9" s="1"/>
  <c r="E79" i="9"/>
  <c r="E120" i="9" s="1"/>
  <c r="F79" i="9"/>
  <c r="F120" i="9" s="1"/>
  <c r="G79" i="9"/>
  <c r="G120" i="9" s="1"/>
  <c r="H79" i="9"/>
  <c r="H120" i="9" s="1"/>
  <c r="I79" i="9"/>
  <c r="I120" i="9" s="1"/>
  <c r="J79" i="9"/>
  <c r="J120" i="9" s="1"/>
  <c r="K79" i="9"/>
  <c r="K120" i="9" s="1"/>
  <c r="L79" i="9"/>
  <c r="L120" i="9" s="1"/>
  <c r="M79" i="9"/>
  <c r="M120" i="9" s="1"/>
  <c r="N79" i="9"/>
  <c r="N120" i="9" s="1"/>
  <c r="O79" i="9"/>
  <c r="O120" i="9" s="1"/>
  <c r="P79" i="9"/>
  <c r="P120" i="9" s="1"/>
  <c r="Q79" i="9"/>
  <c r="Q120" i="9" s="1"/>
  <c r="B84" i="9"/>
  <c r="B97" i="9" s="1"/>
  <c r="C84" i="9"/>
  <c r="C97" i="9" s="1"/>
  <c r="D84" i="9"/>
  <c r="D97" i="9" s="1"/>
  <c r="E84" i="9"/>
  <c r="E97" i="9" s="1"/>
  <c r="F84" i="9"/>
  <c r="F97" i="9" s="1"/>
  <c r="G84" i="9"/>
  <c r="G97" i="9" s="1"/>
  <c r="H84" i="9"/>
  <c r="H97" i="9" s="1"/>
  <c r="I84" i="9"/>
  <c r="I97" i="9" s="1"/>
  <c r="J84" i="9"/>
  <c r="J97" i="9" s="1"/>
  <c r="K84" i="9"/>
  <c r="K97" i="9" s="1"/>
  <c r="L84" i="9"/>
  <c r="L97" i="9" s="1"/>
  <c r="M84" i="9"/>
  <c r="M97" i="9" s="1"/>
  <c r="N84" i="9"/>
  <c r="N97" i="9" s="1"/>
  <c r="O84" i="9"/>
  <c r="O97" i="9" s="1"/>
  <c r="P84" i="9"/>
  <c r="P97" i="9" s="1"/>
  <c r="Q84" i="9"/>
  <c r="Q97" i="9" s="1"/>
  <c r="B85" i="9"/>
  <c r="B109" i="9" s="1"/>
  <c r="C85" i="9"/>
  <c r="C109" i="9" s="1"/>
  <c r="D85" i="9"/>
  <c r="D109" i="9" s="1"/>
  <c r="E85" i="9"/>
  <c r="E109" i="9" s="1"/>
  <c r="F85" i="9"/>
  <c r="F109" i="9" s="1"/>
  <c r="G85" i="9"/>
  <c r="G109" i="9" s="1"/>
  <c r="H85" i="9"/>
  <c r="H109" i="9" s="1"/>
  <c r="I85" i="9"/>
  <c r="I109" i="9" s="1"/>
  <c r="J85" i="9"/>
  <c r="J109" i="9" s="1"/>
  <c r="K85" i="9"/>
  <c r="K109" i="9" s="1"/>
  <c r="L85" i="9"/>
  <c r="L109" i="9" s="1"/>
  <c r="M85" i="9"/>
  <c r="M109" i="9" s="1"/>
  <c r="N85" i="9"/>
  <c r="N109" i="9" s="1"/>
  <c r="O85" i="9"/>
  <c r="O109" i="9" s="1"/>
  <c r="P85" i="9"/>
  <c r="P109" i="9" s="1"/>
  <c r="Q85" i="9"/>
  <c r="Q109" i="9" s="1"/>
  <c r="B86" i="9"/>
  <c r="B121" i="9" s="1"/>
  <c r="C86" i="9"/>
  <c r="C121" i="9" s="1"/>
  <c r="D86" i="9"/>
  <c r="D121" i="9" s="1"/>
  <c r="E86" i="9"/>
  <c r="E121" i="9" s="1"/>
  <c r="F86" i="9"/>
  <c r="F121" i="9" s="1"/>
  <c r="G86" i="9"/>
  <c r="G121" i="9" s="1"/>
  <c r="H86" i="9"/>
  <c r="H121" i="9" s="1"/>
  <c r="I86" i="9"/>
  <c r="I121" i="9" s="1"/>
  <c r="J86" i="9"/>
  <c r="J121" i="9" s="1"/>
  <c r="K86" i="9"/>
  <c r="K121" i="9" s="1"/>
  <c r="L86" i="9"/>
  <c r="L121" i="9" s="1"/>
  <c r="M86" i="9"/>
  <c r="M121" i="9" s="1"/>
  <c r="N86" i="9"/>
  <c r="N121" i="9" s="1"/>
  <c r="O86" i="9"/>
  <c r="O121" i="9" s="1"/>
  <c r="P86" i="9"/>
  <c r="P121" i="9" s="1"/>
  <c r="Q86" i="9"/>
  <c r="Q121" i="9" s="1"/>
  <c r="B90" i="9"/>
  <c r="B98" i="9" s="1"/>
  <c r="C90" i="9"/>
  <c r="C98" i="9" s="1"/>
  <c r="D90" i="9"/>
  <c r="D98" i="9" s="1"/>
  <c r="E90" i="9"/>
  <c r="E98" i="9" s="1"/>
  <c r="F90" i="9"/>
  <c r="F98" i="9" s="1"/>
  <c r="G90" i="9"/>
  <c r="G98" i="9" s="1"/>
  <c r="H90" i="9"/>
  <c r="H98" i="9" s="1"/>
  <c r="I90" i="9"/>
  <c r="I98" i="9" s="1"/>
  <c r="J90" i="9"/>
  <c r="J98" i="9" s="1"/>
  <c r="K90" i="9"/>
  <c r="K98" i="9" s="1"/>
  <c r="L90" i="9"/>
  <c r="L98" i="9" s="1"/>
  <c r="M90" i="9"/>
  <c r="M98" i="9" s="1"/>
  <c r="N90" i="9"/>
  <c r="N98" i="9" s="1"/>
  <c r="O90" i="9"/>
  <c r="O98" i="9" s="1"/>
  <c r="P90" i="9"/>
  <c r="P98" i="9" s="1"/>
  <c r="Q90" i="9"/>
  <c r="Q98" i="9" s="1"/>
  <c r="B91" i="9"/>
  <c r="B110" i="9" s="1"/>
  <c r="C91" i="9"/>
  <c r="C110" i="9" s="1"/>
  <c r="D91" i="9"/>
  <c r="D110" i="9" s="1"/>
  <c r="E91" i="9"/>
  <c r="E110" i="9" s="1"/>
  <c r="F91" i="9"/>
  <c r="F110" i="9" s="1"/>
  <c r="G91" i="9"/>
  <c r="G110" i="9" s="1"/>
  <c r="H91" i="9"/>
  <c r="H110" i="9" s="1"/>
  <c r="I91" i="9"/>
  <c r="I110" i="9" s="1"/>
  <c r="J91" i="9"/>
  <c r="J110" i="9" s="1"/>
  <c r="K91" i="9"/>
  <c r="K110" i="9" s="1"/>
  <c r="L91" i="9"/>
  <c r="L110" i="9" s="1"/>
  <c r="M91" i="9"/>
  <c r="M110" i="9" s="1"/>
  <c r="N91" i="9"/>
  <c r="N110" i="9" s="1"/>
  <c r="O91" i="9"/>
  <c r="O110" i="9" s="1"/>
  <c r="P91" i="9"/>
  <c r="P110" i="9" s="1"/>
  <c r="Q91" i="9"/>
  <c r="Q110" i="9" s="1"/>
  <c r="B92" i="9"/>
  <c r="B122" i="9" s="1"/>
  <c r="C92" i="9"/>
  <c r="C122" i="9" s="1"/>
  <c r="D92" i="9"/>
  <c r="D122" i="9" s="1"/>
  <c r="E92" i="9"/>
  <c r="E122" i="9" s="1"/>
  <c r="F92" i="9"/>
  <c r="F122" i="9" s="1"/>
  <c r="G92" i="9"/>
  <c r="G122" i="9" s="1"/>
  <c r="H92" i="9"/>
  <c r="H122" i="9" s="1"/>
  <c r="I92" i="9"/>
  <c r="I122" i="9" s="1"/>
  <c r="J92" i="9"/>
  <c r="J122" i="9" s="1"/>
  <c r="K92" i="9"/>
  <c r="K122" i="9" s="1"/>
  <c r="L92" i="9"/>
  <c r="L122" i="9" s="1"/>
  <c r="M92" i="9"/>
  <c r="M122" i="9" s="1"/>
  <c r="N92" i="9"/>
  <c r="N122" i="9" s="1"/>
  <c r="O92" i="9"/>
  <c r="O122" i="9" s="1"/>
  <c r="P92" i="9"/>
  <c r="P122" i="9" s="1"/>
  <c r="Q92" i="9"/>
  <c r="Q122" i="9" s="1"/>
  <c r="B25" i="8"/>
  <c r="B24" i="8"/>
  <c r="B36" i="6"/>
  <c r="Y35" i="6"/>
  <c r="I35" i="6"/>
  <c r="B35" i="6"/>
  <c r="Y34" i="6"/>
  <c r="I34" i="6"/>
  <c r="B34" i="6"/>
  <c r="Y30" i="6"/>
  <c r="Q30" i="6"/>
  <c r="I30" i="6"/>
  <c r="B30" i="6"/>
  <c r="I29" i="6"/>
  <c r="Y28" i="6"/>
  <c r="I28" i="6"/>
  <c r="Z27" i="6"/>
  <c r="J27" i="6"/>
  <c r="I27" i="6"/>
  <c r="B27" i="6"/>
  <c r="Z26" i="6"/>
  <c r="Y26" i="6"/>
  <c r="R26" i="6"/>
  <c r="Q26" i="6"/>
  <c r="I26" i="6"/>
  <c r="B26" i="6"/>
  <c r="Z25" i="6"/>
  <c r="Y25" i="6"/>
  <c r="R25" i="6"/>
  <c r="Q25" i="6"/>
  <c r="I25" i="6"/>
  <c r="B25" i="6"/>
  <c r="Y19" i="6"/>
  <c r="Q19" i="6"/>
  <c r="I19" i="6"/>
  <c r="B19" i="6"/>
  <c r="R18" i="6"/>
  <c r="J18" i="6"/>
  <c r="R17" i="6"/>
  <c r="Q17" i="6"/>
  <c r="J17" i="6"/>
  <c r="I17" i="6"/>
  <c r="B17" i="6"/>
  <c r="Q15" i="6"/>
  <c r="I15" i="6"/>
  <c r="B15" i="6"/>
  <c r="Y11" i="6"/>
  <c r="Q11" i="6"/>
  <c r="I11" i="6"/>
  <c r="B11" i="6"/>
  <c r="Y8" i="6"/>
  <c r="Q8" i="6"/>
  <c r="I8" i="6"/>
  <c r="B8" i="6"/>
  <c r="I7" i="6"/>
  <c r="B7" i="6"/>
  <c r="Y6" i="6"/>
  <c r="Q6" i="6"/>
  <c r="I6" i="6"/>
  <c r="B6" i="6"/>
  <c r="B5" i="6"/>
  <c r="B4" i="6"/>
  <c r="Y3" i="6"/>
  <c r="Q3" i="6"/>
  <c r="I3" i="6"/>
  <c r="B3" i="6"/>
  <c r="I13" i="5"/>
  <c r="H13" i="5"/>
  <c r="G13" i="5"/>
  <c r="F13" i="5"/>
  <c r="B13" i="5"/>
  <c r="G12" i="5"/>
  <c r="F12" i="5"/>
  <c r="G11" i="5"/>
  <c r="F11" i="5"/>
  <c r="G10" i="5"/>
  <c r="F10" i="5"/>
  <c r="G9" i="5"/>
  <c r="F9" i="5"/>
  <c r="I8" i="5"/>
  <c r="H8" i="5"/>
  <c r="G8" i="5"/>
  <c r="F8" i="5"/>
  <c r="G7" i="5"/>
  <c r="F7" i="5"/>
  <c r="G6" i="5"/>
  <c r="F6" i="5"/>
  <c r="G5" i="5"/>
  <c r="F5" i="5"/>
  <c r="G4" i="5"/>
  <c r="F4" i="5"/>
  <c r="I3" i="5"/>
  <c r="H3" i="5"/>
  <c r="G3" i="5"/>
  <c r="F3" i="5"/>
  <c r="K39" i="4"/>
  <c r="K38" i="4"/>
  <c r="K37" i="4"/>
  <c r="K35" i="4"/>
  <c r="E35" i="4"/>
  <c r="K34" i="4"/>
  <c r="E34" i="4"/>
  <c r="K33" i="4"/>
  <c r="E33" i="4"/>
  <c r="K30" i="4"/>
  <c r="K29" i="4"/>
  <c r="K28" i="4"/>
  <c r="K26" i="4"/>
  <c r="H26" i="4"/>
  <c r="E26" i="4"/>
  <c r="B26" i="4"/>
  <c r="K25" i="4"/>
  <c r="H25" i="4"/>
  <c r="E25" i="4"/>
  <c r="B25" i="4"/>
  <c r="K24" i="4"/>
  <c r="E24" i="4"/>
  <c r="K21" i="4"/>
  <c r="K20" i="4"/>
  <c r="K19" i="4"/>
  <c r="K17" i="4"/>
  <c r="H17" i="4"/>
  <c r="E17" i="4"/>
  <c r="B17" i="4"/>
  <c r="K16" i="4"/>
  <c r="H16" i="4"/>
  <c r="E16" i="4"/>
  <c r="B16" i="4"/>
  <c r="K15" i="4"/>
  <c r="H15" i="4"/>
  <c r="E15" i="4"/>
  <c r="B15" i="4"/>
  <c r="K10" i="4"/>
  <c r="K9" i="4"/>
  <c r="K8" i="4"/>
  <c r="K6" i="4"/>
  <c r="H6" i="4"/>
  <c r="E6" i="4"/>
  <c r="B6" i="4"/>
  <c r="K5" i="4"/>
  <c r="H5" i="4"/>
  <c r="E5" i="4"/>
  <c r="B5" i="4"/>
  <c r="K4" i="4"/>
  <c r="E4" i="4"/>
  <c r="K83" i="2"/>
  <c r="K82" i="2"/>
  <c r="K81" i="2"/>
  <c r="K77" i="2"/>
  <c r="E77" i="2"/>
  <c r="K76" i="2"/>
  <c r="E76" i="2"/>
  <c r="K75" i="2"/>
  <c r="E75" i="2"/>
  <c r="K71" i="2"/>
  <c r="E71" i="2"/>
  <c r="K70" i="2"/>
  <c r="E70" i="2"/>
  <c r="K69" i="2"/>
  <c r="E69" i="2"/>
  <c r="K67" i="2"/>
  <c r="H67" i="2"/>
  <c r="E67" i="2"/>
  <c r="B67" i="2"/>
  <c r="K66" i="2"/>
  <c r="H66" i="2"/>
  <c r="E66" i="2"/>
  <c r="B66" i="2"/>
  <c r="K65" i="2"/>
  <c r="E65" i="2"/>
  <c r="B65" i="2"/>
  <c r="K63" i="2"/>
  <c r="H63" i="2"/>
  <c r="E63" i="2"/>
  <c r="B63" i="2"/>
  <c r="K62" i="2"/>
  <c r="H62" i="2"/>
  <c r="E62" i="2"/>
  <c r="B62" i="2"/>
  <c r="K61" i="2"/>
  <c r="H61" i="2"/>
  <c r="E61" i="2"/>
  <c r="B61" i="2"/>
  <c r="K58" i="2"/>
  <c r="E58" i="2"/>
  <c r="K57" i="2"/>
  <c r="E57" i="2"/>
  <c r="K56" i="2"/>
  <c r="E56" i="2"/>
  <c r="K54" i="2"/>
  <c r="H54" i="2"/>
  <c r="E54" i="2"/>
  <c r="B54" i="2"/>
  <c r="K53" i="2"/>
  <c r="H53" i="2"/>
  <c r="E53" i="2"/>
  <c r="B53" i="2"/>
  <c r="K52" i="2"/>
  <c r="E52" i="2"/>
  <c r="K50" i="2"/>
  <c r="H50" i="2"/>
  <c r="E50" i="2"/>
  <c r="B50" i="2"/>
  <c r="K49" i="2"/>
  <c r="H49" i="2"/>
  <c r="E49" i="2"/>
  <c r="B49" i="2"/>
  <c r="K48" i="2"/>
  <c r="E48" i="2"/>
  <c r="K45" i="2"/>
  <c r="E45" i="2"/>
  <c r="K44" i="2"/>
  <c r="E44" i="2"/>
  <c r="K43" i="2"/>
  <c r="E43" i="2"/>
  <c r="K40" i="2"/>
  <c r="H40" i="2"/>
  <c r="E40" i="2"/>
  <c r="B40" i="2"/>
  <c r="K39" i="2"/>
  <c r="H39" i="2"/>
  <c r="E39" i="2"/>
  <c r="B39" i="2"/>
  <c r="K38" i="2"/>
  <c r="E38" i="2"/>
  <c r="K35" i="2"/>
  <c r="E35" i="2"/>
  <c r="K34" i="2"/>
  <c r="E34" i="2"/>
  <c r="K33" i="2"/>
  <c r="E33" i="2"/>
  <c r="K31" i="2"/>
  <c r="H31" i="2"/>
  <c r="E31" i="2"/>
  <c r="B31" i="2"/>
  <c r="K30" i="2"/>
  <c r="H30" i="2"/>
  <c r="E30" i="2"/>
  <c r="B30" i="2"/>
  <c r="K29" i="2"/>
  <c r="E29" i="2"/>
  <c r="K27" i="2"/>
  <c r="H27" i="2"/>
  <c r="E27" i="2"/>
  <c r="B27" i="2"/>
  <c r="K26" i="2"/>
  <c r="H26" i="2"/>
  <c r="E26" i="2"/>
  <c r="B26" i="2"/>
  <c r="K25" i="2"/>
  <c r="E25" i="2"/>
  <c r="K23" i="2"/>
  <c r="H23" i="2"/>
  <c r="E23" i="2"/>
  <c r="B23" i="2"/>
  <c r="K22" i="2"/>
  <c r="H22" i="2"/>
  <c r="E22" i="2"/>
  <c r="B22" i="2"/>
  <c r="K21" i="2"/>
  <c r="E21" i="2"/>
  <c r="K19" i="2"/>
  <c r="H19" i="2"/>
  <c r="E19" i="2"/>
  <c r="B19" i="2"/>
  <c r="K18" i="2"/>
  <c r="H18" i="2"/>
  <c r="E18" i="2"/>
  <c r="B18" i="2"/>
  <c r="K17" i="2"/>
  <c r="E17" i="2"/>
  <c r="K15" i="2"/>
  <c r="H15" i="2"/>
  <c r="E15" i="2"/>
  <c r="B15" i="2"/>
  <c r="K14" i="2"/>
  <c r="H14" i="2"/>
  <c r="E14" i="2"/>
  <c r="B14" i="2"/>
  <c r="K13" i="2"/>
  <c r="E13" i="2"/>
  <c r="K11" i="2"/>
  <c r="H11" i="2"/>
  <c r="E11" i="2"/>
  <c r="B11" i="2"/>
  <c r="K10" i="2"/>
  <c r="H10" i="2"/>
  <c r="E10" i="2"/>
  <c r="B10" i="2"/>
  <c r="K9" i="2"/>
  <c r="E9" i="2"/>
  <c r="K7" i="2"/>
  <c r="H7" i="2"/>
  <c r="E7" i="2"/>
  <c r="B7" i="2"/>
  <c r="K6" i="2"/>
  <c r="H6" i="2"/>
  <c r="E6" i="2"/>
  <c r="B6" i="2"/>
  <c r="N5" i="2"/>
  <c r="M5" i="2"/>
  <c r="K5" i="2"/>
  <c r="E5" i="2"/>
  <c r="I39" i="3"/>
  <c r="I38" i="3"/>
  <c r="I37" i="3"/>
  <c r="I35" i="3"/>
  <c r="D35" i="3"/>
  <c r="I34" i="3"/>
  <c r="D34" i="3"/>
  <c r="I33" i="3"/>
  <c r="D33" i="3"/>
  <c r="I31" i="3"/>
  <c r="I30" i="3"/>
  <c r="I29" i="3"/>
  <c r="I27" i="3"/>
  <c r="D27" i="3"/>
  <c r="I26" i="3"/>
  <c r="D26" i="3"/>
  <c r="I25" i="3"/>
  <c r="D25" i="3"/>
  <c r="I23" i="3"/>
  <c r="H23" i="3"/>
  <c r="D23" i="3"/>
  <c r="C23" i="3"/>
  <c r="I20" i="3"/>
  <c r="I19" i="3"/>
  <c r="I18" i="3"/>
  <c r="I16" i="3"/>
  <c r="D16" i="3"/>
  <c r="I15" i="3"/>
  <c r="D15" i="3"/>
  <c r="I14" i="3"/>
  <c r="D14" i="3"/>
  <c r="E12" i="3"/>
  <c r="J11" i="3"/>
  <c r="E11" i="3"/>
  <c r="I7" i="3"/>
  <c r="D7" i="3"/>
  <c r="E5" i="3"/>
  <c r="D5" i="3"/>
  <c r="J4" i="3"/>
  <c r="I4" i="3"/>
  <c r="H4" i="3"/>
  <c r="E4" i="3"/>
  <c r="N120" i="1"/>
  <c r="E120" i="1"/>
  <c r="N119" i="1"/>
  <c r="E119" i="1"/>
  <c r="N118" i="1"/>
  <c r="E118" i="1"/>
  <c r="Q116" i="1"/>
  <c r="N116" i="1"/>
  <c r="H116" i="1"/>
  <c r="E116" i="1"/>
  <c r="Q115" i="1"/>
  <c r="N115" i="1"/>
  <c r="H115" i="1"/>
  <c r="E115" i="1"/>
  <c r="Q114" i="1"/>
  <c r="N114" i="1"/>
  <c r="H114" i="1"/>
  <c r="E114" i="1"/>
  <c r="N110" i="1"/>
  <c r="E110" i="1"/>
  <c r="N109" i="1"/>
  <c r="E109" i="1"/>
  <c r="N108" i="1"/>
  <c r="E108" i="1"/>
  <c r="Q106" i="1"/>
  <c r="N106" i="1"/>
  <c r="H106" i="1"/>
  <c r="E106" i="1"/>
  <c r="Q105" i="1"/>
  <c r="N105" i="1"/>
  <c r="H105" i="1"/>
  <c r="E105" i="1"/>
  <c r="Q104" i="1"/>
  <c r="N104" i="1"/>
  <c r="H104" i="1"/>
  <c r="E104" i="1"/>
  <c r="Q102" i="1"/>
  <c r="N102" i="1"/>
  <c r="K102" i="1"/>
  <c r="H102" i="1"/>
  <c r="E102" i="1"/>
  <c r="B102" i="1"/>
  <c r="Q101" i="1"/>
  <c r="N101" i="1"/>
  <c r="K101" i="1"/>
  <c r="H101" i="1"/>
  <c r="E101" i="1"/>
  <c r="Q100" i="1"/>
  <c r="N100" i="1"/>
  <c r="H100" i="1"/>
  <c r="E100" i="1"/>
  <c r="B100" i="1"/>
  <c r="N96" i="1"/>
  <c r="E96" i="1"/>
  <c r="N95" i="1"/>
  <c r="E95" i="1"/>
  <c r="N94" i="1"/>
  <c r="E94" i="1"/>
  <c r="Q92" i="1"/>
  <c r="N92" i="1"/>
  <c r="H92" i="1"/>
  <c r="E92" i="1"/>
  <c r="Q91" i="1"/>
  <c r="N91" i="1"/>
  <c r="H91" i="1"/>
  <c r="E91" i="1"/>
  <c r="Q90" i="1"/>
  <c r="N90" i="1"/>
  <c r="H90" i="1"/>
  <c r="E90" i="1"/>
  <c r="Q88" i="1"/>
  <c r="N88" i="1"/>
  <c r="K88" i="1"/>
  <c r="H88" i="1"/>
  <c r="E88" i="1"/>
  <c r="B88" i="1"/>
  <c r="Q87" i="1"/>
  <c r="N87" i="1"/>
  <c r="K87" i="1"/>
  <c r="H87" i="1"/>
  <c r="E87" i="1"/>
  <c r="B87" i="1"/>
  <c r="Q86" i="1"/>
  <c r="N86" i="1"/>
  <c r="H86" i="1"/>
  <c r="E86" i="1"/>
  <c r="Q83" i="1"/>
  <c r="N83" i="1"/>
  <c r="K83" i="1"/>
  <c r="H83" i="1"/>
  <c r="E83" i="1"/>
  <c r="B83" i="1"/>
  <c r="Q82" i="1"/>
  <c r="N82" i="1"/>
  <c r="K82" i="1"/>
  <c r="H82" i="1"/>
  <c r="E82" i="1"/>
  <c r="B82" i="1"/>
  <c r="Q81" i="1"/>
  <c r="N81" i="1"/>
  <c r="H81" i="1"/>
  <c r="E81" i="1"/>
  <c r="Q78" i="1"/>
  <c r="N78" i="1"/>
  <c r="K78" i="1"/>
  <c r="H78" i="1"/>
  <c r="E78" i="1"/>
  <c r="B78" i="1"/>
  <c r="Q77" i="1"/>
  <c r="N77" i="1"/>
  <c r="K77" i="1"/>
  <c r="H77" i="1"/>
  <c r="E77" i="1"/>
  <c r="B77" i="1"/>
  <c r="Q76" i="1"/>
  <c r="N76" i="1"/>
  <c r="H76" i="1"/>
  <c r="E76" i="1"/>
  <c r="Q73" i="1"/>
  <c r="N73" i="1"/>
  <c r="K73" i="1"/>
  <c r="H73" i="1"/>
  <c r="E73" i="1"/>
  <c r="B73" i="1"/>
  <c r="Q72" i="1"/>
  <c r="N72" i="1"/>
  <c r="H72" i="1"/>
  <c r="E72" i="1"/>
  <c r="B72" i="1"/>
  <c r="Q71" i="1"/>
  <c r="N71" i="1"/>
  <c r="K71" i="1"/>
  <c r="H71" i="1"/>
  <c r="E71" i="1"/>
  <c r="N67" i="1"/>
  <c r="E67" i="1"/>
  <c r="N66" i="1"/>
  <c r="E66" i="1"/>
  <c r="N65" i="1"/>
  <c r="E65" i="1"/>
  <c r="Q63" i="1"/>
  <c r="N63" i="1"/>
  <c r="H63" i="1"/>
  <c r="E63" i="1"/>
  <c r="Q62" i="1"/>
  <c r="N62" i="1"/>
  <c r="H62" i="1"/>
  <c r="E62" i="1"/>
  <c r="Q61" i="1"/>
  <c r="N61" i="1"/>
  <c r="H61" i="1"/>
  <c r="E61" i="1"/>
  <c r="Q58" i="1"/>
  <c r="N58" i="1"/>
  <c r="H58" i="1"/>
  <c r="E58" i="1"/>
  <c r="Q57" i="1"/>
  <c r="N57" i="1"/>
  <c r="H57" i="1"/>
  <c r="E57" i="1"/>
  <c r="Q56" i="1"/>
  <c r="N56" i="1"/>
  <c r="H56" i="1"/>
  <c r="E56" i="1"/>
  <c r="Q54" i="1"/>
  <c r="N54" i="1"/>
  <c r="K54" i="1"/>
  <c r="H54" i="1"/>
  <c r="E54" i="1"/>
  <c r="B54" i="1"/>
  <c r="Q53" i="1"/>
  <c r="N53" i="1"/>
  <c r="K53" i="1"/>
  <c r="H53" i="1"/>
  <c r="E53" i="1"/>
  <c r="B53" i="1"/>
  <c r="Q52" i="1"/>
  <c r="N52" i="1"/>
  <c r="H52" i="1"/>
  <c r="E52" i="1"/>
  <c r="Q49" i="1"/>
  <c r="N49" i="1"/>
  <c r="K49" i="1"/>
  <c r="H49" i="1"/>
  <c r="E49" i="1"/>
  <c r="B49" i="1"/>
  <c r="Q48" i="1"/>
  <c r="N48" i="1"/>
  <c r="K48" i="1"/>
  <c r="H48" i="1"/>
  <c r="E48" i="1"/>
  <c r="B48" i="1"/>
  <c r="Q47" i="1"/>
  <c r="N47" i="1"/>
  <c r="H47" i="1"/>
  <c r="E47" i="1"/>
  <c r="Q44" i="1"/>
  <c r="N44" i="1"/>
  <c r="K44" i="1"/>
  <c r="H44" i="1"/>
  <c r="E44" i="1"/>
  <c r="B44" i="1"/>
  <c r="Q43" i="1"/>
  <c r="N43" i="1"/>
  <c r="K43" i="1"/>
  <c r="H43" i="1"/>
  <c r="E43" i="1"/>
  <c r="B43" i="1"/>
  <c r="Q42" i="1"/>
  <c r="N42" i="1"/>
  <c r="H42" i="1"/>
  <c r="E42" i="1"/>
  <c r="Q38" i="1"/>
  <c r="N38" i="1"/>
  <c r="H38" i="1"/>
  <c r="E38" i="1"/>
  <c r="Q37" i="1"/>
  <c r="N37" i="1"/>
  <c r="H37" i="1"/>
  <c r="E37" i="1"/>
  <c r="Q36" i="1"/>
  <c r="N36" i="1"/>
  <c r="H36" i="1"/>
  <c r="E36" i="1"/>
  <c r="Q34" i="1"/>
  <c r="N34" i="1"/>
  <c r="K34" i="1"/>
  <c r="H34" i="1"/>
  <c r="E34" i="1"/>
  <c r="B34" i="1"/>
  <c r="Q33" i="1"/>
  <c r="N33" i="1"/>
  <c r="K33" i="1"/>
  <c r="H33" i="1"/>
  <c r="E33" i="1"/>
  <c r="B33" i="1"/>
  <c r="Q32" i="1"/>
  <c r="N32" i="1"/>
  <c r="H32" i="1"/>
  <c r="E32" i="1"/>
  <c r="Q29" i="1"/>
  <c r="N29" i="1"/>
  <c r="K29" i="1"/>
  <c r="H29" i="1"/>
  <c r="E29" i="1"/>
  <c r="B29" i="1"/>
  <c r="Q28" i="1"/>
  <c r="N28" i="1"/>
  <c r="K28" i="1"/>
  <c r="H28" i="1"/>
  <c r="E28" i="1"/>
  <c r="B28" i="1"/>
  <c r="Q27" i="1"/>
  <c r="N27" i="1"/>
  <c r="H27" i="1"/>
  <c r="E27" i="1"/>
  <c r="Q24" i="1"/>
  <c r="N24" i="1"/>
  <c r="K24" i="1"/>
  <c r="H24" i="1"/>
  <c r="E24" i="1"/>
  <c r="B24" i="1"/>
  <c r="Q23" i="1"/>
  <c r="N23" i="1"/>
  <c r="K23" i="1"/>
  <c r="H23" i="1"/>
  <c r="E23" i="1"/>
  <c r="B23" i="1"/>
  <c r="Q22" i="1"/>
  <c r="N22" i="1"/>
  <c r="H22" i="1"/>
  <c r="E22" i="1"/>
  <c r="Q18" i="1"/>
  <c r="N18" i="1"/>
  <c r="H18" i="1"/>
  <c r="E18" i="1"/>
  <c r="Q17" i="1"/>
  <c r="N17" i="1"/>
  <c r="H17" i="1"/>
  <c r="E17" i="1"/>
  <c r="Q16" i="1"/>
  <c r="N16" i="1"/>
  <c r="H16" i="1"/>
  <c r="E16" i="1"/>
  <c r="Q14" i="1"/>
  <c r="N14" i="1"/>
  <c r="K14" i="1"/>
  <c r="H14" i="1"/>
  <c r="E14" i="1"/>
  <c r="B14" i="1"/>
  <c r="Q13" i="1"/>
  <c r="N13" i="1"/>
  <c r="K13" i="1"/>
  <c r="H13" i="1"/>
  <c r="E13" i="1"/>
  <c r="B13" i="1"/>
  <c r="Q12" i="1"/>
  <c r="N12" i="1"/>
  <c r="H12" i="1"/>
  <c r="E12" i="1"/>
  <c r="Q9" i="1"/>
  <c r="N9" i="1"/>
  <c r="K9" i="1"/>
  <c r="H9" i="1"/>
  <c r="E9" i="1"/>
  <c r="B9" i="1"/>
  <c r="Q8" i="1"/>
  <c r="N8" i="1"/>
  <c r="K8" i="1"/>
  <c r="H8" i="1"/>
  <c r="E8" i="1"/>
  <c r="B8" i="1"/>
  <c r="Q7" i="1"/>
  <c r="N7" i="1"/>
  <c r="H7" i="1"/>
  <c r="E7" i="1"/>
  <c r="K5" i="1"/>
  <c r="B5" i="1"/>
  <c r="BC155" i="9"/>
  <c r="BB155" i="9"/>
  <c r="BA155" i="9"/>
  <c r="AZ155" i="9"/>
  <c r="AW155" i="9"/>
  <c r="AV155" i="9"/>
  <c r="AU155" i="9"/>
  <c r="AT155" i="9"/>
  <c r="AQ155" i="9"/>
  <c r="AP155" i="9"/>
  <c r="AO155" i="9"/>
  <c r="AN155" i="9"/>
  <c r="AI155" i="9"/>
  <c r="AH155" i="9"/>
  <c r="AG155" i="9"/>
  <c r="AF155" i="9"/>
  <c r="AC155" i="9"/>
  <c r="AB155" i="9"/>
  <c r="AA155" i="9"/>
  <c r="Z155" i="9"/>
  <c r="W155" i="9"/>
  <c r="V155" i="9"/>
  <c r="X155" i="9" s="1"/>
  <c r="U155" i="9"/>
  <c r="T155" i="9"/>
  <c r="Q155" i="9"/>
  <c r="P155" i="9"/>
  <c r="O155" i="9"/>
  <c r="N155" i="9"/>
  <c r="K155" i="9"/>
  <c r="J155" i="9"/>
  <c r="I155" i="9"/>
  <c r="H155" i="9"/>
  <c r="E155" i="9"/>
  <c r="D155" i="9"/>
  <c r="C155" i="9"/>
  <c r="B155" i="9"/>
  <c r="BC154" i="9"/>
  <c r="BB154" i="9"/>
  <c r="BA154" i="9"/>
  <c r="AZ154" i="9"/>
  <c r="AW154" i="9"/>
  <c r="AV154" i="9"/>
  <c r="AU154" i="9"/>
  <c r="AT154" i="9"/>
  <c r="AQ154" i="9"/>
  <c r="AP154" i="9"/>
  <c r="AO154" i="9"/>
  <c r="AN154" i="9"/>
  <c r="AI154" i="9"/>
  <c r="AH154" i="9"/>
  <c r="AG154" i="9"/>
  <c r="AF154" i="9"/>
  <c r="AC154" i="9"/>
  <c r="AB154" i="9"/>
  <c r="AA154" i="9"/>
  <c r="Z154" i="9"/>
  <c r="W154" i="9"/>
  <c r="V154" i="9"/>
  <c r="U154" i="9"/>
  <c r="T154" i="9"/>
  <c r="Q154" i="9"/>
  <c r="P154" i="9"/>
  <c r="O154" i="9"/>
  <c r="N154" i="9"/>
  <c r="K154" i="9"/>
  <c r="J154" i="9"/>
  <c r="I154" i="9"/>
  <c r="H154" i="9"/>
  <c r="E154" i="9"/>
  <c r="D154" i="9"/>
  <c r="C154" i="9"/>
  <c r="B154" i="9"/>
  <c r="BC153" i="9"/>
  <c r="BB153" i="9"/>
  <c r="BA153" i="9"/>
  <c r="AZ153" i="9"/>
  <c r="AW153" i="9"/>
  <c r="AV153" i="9"/>
  <c r="AU153" i="9"/>
  <c r="AT153" i="9"/>
  <c r="AQ153" i="9"/>
  <c r="AP153" i="9"/>
  <c r="AR153" i="9" s="1"/>
  <c r="AO153" i="9"/>
  <c r="AN153" i="9"/>
  <c r="AI153" i="9"/>
  <c r="AH153" i="9"/>
  <c r="AG153" i="9"/>
  <c r="AF153" i="9"/>
  <c r="AC153" i="9"/>
  <c r="AB153" i="9"/>
  <c r="AA153" i="9"/>
  <c r="Z153" i="9"/>
  <c r="W153" i="9"/>
  <c r="V153" i="9"/>
  <c r="U153" i="9"/>
  <c r="T153" i="9"/>
  <c r="Q153" i="9"/>
  <c r="P153" i="9"/>
  <c r="O153" i="9"/>
  <c r="N153" i="9"/>
  <c r="K153" i="9"/>
  <c r="J153" i="9"/>
  <c r="I153" i="9"/>
  <c r="H153" i="9"/>
  <c r="E153" i="9"/>
  <c r="D153" i="9"/>
  <c r="C153" i="9"/>
  <c r="B153" i="9"/>
  <c r="BC152" i="9"/>
  <c r="BB152" i="9"/>
  <c r="BA152" i="9"/>
  <c r="AZ152" i="9"/>
  <c r="AW152" i="9"/>
  <c r="AV152" i="9"/>
  <c r="AU152" i="9"/>
  <c r="AT152" i="9"/>
  <c r="AQ152" i="9"/>
  <c r="AP152" i="9"/>
  <c r="AO152" i="9"/>
  <c r="AN152" i="9"/>
  <c r="AI152" i="9"/>
  <c r="AH152" i="9"/>
  <c r="AG152" i="9"/>
  <c r="AF152" i="9"/>
  <c r="AC152" i="9"/>
  <c r="AB152" i="9"/>
  <c r="AA152" i="9"/>
  <c r="Z152" i="9"/>
  <c r="W152" i="9"/>
  <c r="V152" i="9"/>
  <c r="U152" i="9"/>
  <c r="T152" i="9"/>
  <c r="Q152" i="9"/>
  <c r="P152" i="9"/>
  <c r="O152" i="9"/>
  <c r="N152" i="9"/>
  <c r="K152" i="9"/>
  <c r="J152" i="9"/>
  <c r="I152" i="9"/>
  <c r="H152" i="9"/>
  <c r="E152" i="9"/>
  <c r="D152" i="9"/>
  <c r="C152" i="9"/>
  <c r="B152" i="9"/>
  <c r="BC151" i="9"/>
  <c r="BB151" i="9"/>
  <c r="BA151" i="9"/>
  <c r="AZ151" i="9"/>
  <c r="AW151" i="9"/>
  <c r="AV151" i="9"/>
  <c r="AU151" i="9"/>
  <c r="AT151" i="9"/>
  <c r="AQ151" i="9"/>
  <c r="AP151" i="9"/>
  <c r="AO151" i="9"/>
  <c r="AN151" i="9"/>
  <c r="AI151" i="9"/>
  <c r="AH151" i="9"/>
  <c r="AG151" i="9"/>
  <c r="AF151" i="9"/>
  <c r="AC151" i="9"/>
  <c r="AB151" i="9"/>
  <c r="AA151" i="9"/>
  <c r="Z151" i="9"/>
  <c r="W151" i="9"/>
  <c r="V151" i="9"/>
  <c r="U151" i="9"/>
  <c r="T151" i="9"/>
  <c r="Q151" i="9"/>
  <c r="P151" i="9"/>
  <c r="O151" i="9"/>
  <c r="N151" i="9"/>
  <c r="K151" i="9"/>
  <c r="J151" i="9"/>
  <c r="I151" i="9"/>
  <c r="H151" i="9"/>
  <c r="E151" i="9"/>
  <c r="D151" i="9"/>
  <c r="C151" i="9"/>
  <c r="B151" i="9"/>
  <c r="BC150" i="9"/>
  <c r="BB150" i="9"/>
  <c r="BA150" i="9"/>
  <c r="AZ150" i="9"/>
  <c r="AW150" i="9"/>
  <c r="AV150" i="9"/>
  <c r="AU150" i="9"/>
  <c r="AT150" i="9"/>
  <c r="AQ150" i="9"/>
  <c r="AP150" i="9"/>
  <c r="AO150" i="9"/>
  <c r="AN150" i="9"/>
  <c r="AI150" i="9"/>
  <c r="AH150" i="9"/>
  <c r="AF150" i="9"/>
  <c r="AC150" i="9"/>
  <c r="AB150" i="9"/>
  <c r="AA150" i="9"/>
  <c r="Z150" i="9"/>
  <c r="W150" i="9"/>
  <c r="V150" i="9"/>
  <c r="U150" i="9"/>
  <c r="T150" i="9"/>
  <c r="Q150" i="9"/>
  <c r="P150" i="9"/>
  <c r="O150" i="9"/>
  <c r="N150" i="9"/>
  <c r="K150" i="9"/>
  <c r="J150" i="9"/>
  <c r="I150" i="9"/>
  <c r="H150" i="9"/>
  <c r="E150" i="9"/>
  <c r="D150" i="9"/>
  <c r="C150" i="9"/>
  <c r="B150" i="9"/>
  <c r="BC149" i="9"/>
  <c r="BB149" i="9"/>
  <c r="BA149" i="9"/>
  <c r="AZ149" i="9"/>
  <c r="AW149" i="9"/>
  <c r="AV149" i="9"/>
  <c r="AU149" i="9"/>
  <c r="AT149" i="9"/>
  <c r="AQ149" i="9"/>
  <c r="AP149" i="9"/>
  <c r="AO149" i="9"/>
  <c r="AN149" i="9"/>
  <c r="AI149" i="9"/>
  <c r="AH149" i="9"/>
  <c r="AG149" i="9"/>
  <c r="AF149" i="9"/>
  <c r="AC149" i="9"/>
  <c r="AB149" i="9"/>
  <c r="AA149" i="9"/>
  <c r="Z149" i="9"/>
  <c r="W149" i="9"/>
  <c r="V149" i="9"/>
  <c r="U149" i="9"/>
  <c r="T149" i="9"/>
  <c r="Q149" i="9"/>
  <c r="P149" i="9"/>
  <c r="O149" i="9"/>
  <c r="N149" i="9"/>
  <c r="K149" i="9"/>
  <c r="J149" i="9"/>
  <c r="I149" i="9"/>
  <c r="H149" i="9"/>
  <c r="E149" i="9"/>
  <c r="D149" i="9"/>
  <c r="C149" i="9"/>
  <c r="B14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P27" i="9"/>
  <c r="AO27" i="9"/>
  <c r="AN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BC9" i="9"/>
  <c r="Q34" i="9" s="1"/>
  <c r="BB9" i="9"/>
  <c r="P34" i="9" s="1"/>
  <c r="BA9" i="9"/>
  <c r="O34" i="9" s="1"/>
  <c r="AZ9" i="9"/>
  <c r="N34" i="9" s="1"/>
  <c r="AY9" i="9"/>
  <c r="M34" i="9" s="1"/>
  <c r="AX9" i="9"/>
  <c r="L34" i="9" s="1"/>
  <c r="AW9" i="9"/>
  <c r="K34" i="9" s="1"/>
  <c r="AV9" i="9"/>
  <c r="J34" i="9" s="1"/>
  <c r="AU9" i="9"/>
  <c r="I34" i="9" s="1"/>
  <c r="AT9" i="9"/>
  <c r="H34" i="9" s="1"/>
  <c r="AS9" i="9"/>
  <c r="G34" i="9" s="1"/>
  <c r="AR9" i="9"/>
  <c r="F34" i="9" s="1"/>
  <c r="AQ9" i="9"/>
  <c r="E34" i="9" s="1"/>
  <c r="AP9" i="9"/>
  <c r="D34" i="9" s="1"/>
  <c r="AO9" i="9"/>
  <c r="C34" i="9" s="1"/>
  <c r="AN9" i="9"/>
  <c r="B34" i="9" s="1"/>
  <c r="AJ9" i="9"/>
  <c r="Q33" i="9" s="1"/>
  <c r="AI9" i="9"/>
  <c r="P33" i="9" s="1"/>
  <c r="AH9" i="9"/>
  <c r="O33" i="9" s="1"/>
  <c r="AG9" i="9"/>
  <c r="N33" i="9" s="1"/>
  <c r="AF9" i="9"/>
  <c r="M33" i="9" s="1"/>
  <c r="AE9" i="9"/>
  <c r="L33" i="9" s="1"/>
  <c r="AD9" i="9"/>
  <c r="K33" i="9" s="1"/>
  <c r="AC9" i="9"/>
  <c r="J33" i="9" s="1"/>
  <c r="AB9" i="9"/>
  <c r="I33" i="9" s="1"/>
  <c r="AA9" i="9"/>
  <c r="H33" i="9" s="1"/>
  <c r="Z9" i="9"/>
  <c r="G33" i="9" s="1"/>
  <c r="Y9" i="9"/>
  <c r="F33" i="9" s="1"/>
  <c r="X9" i="9"/>
  <c r="E33" i="9" s="1"/>
  <c r="W9" i="9"/>
  <c r="D33" i="9" s="1"/>
  <c r="V9" i="9"/>
  <c r="C33" i="9" s="1"/>
  <c r="U9" i="9"/>
  <c r="B33" i="9" s="1"/>
  <c r="T9" i="9"/>
  <c r="Q9" i="9"/>
  <c r="Q32" i="9" s="1"/>
  <c r="P9" i="9"/>
  <c r="P32" i="9" s="1"/>
  <c r="O9" i="9"/>
  <c r="O32" i="9" s="1"/>
  <c r="N9" i="9"/>
  <c r="N32" i="9" s="1"/>
  <c r="M9" i="9"/>
  <c r="M32" i="9" s="1"/>
  <c r="L9" i="9"/>
  <c r="L32" i="9" s="1"/>
  <c r="K9" i="9"/>
  <c r="K32" i="9" s="1"/>
  <c r="J9" i="9"/>
  <c r="J32" i="9" s="1"/>
  <c r="I9" i="9"/>
  <c r="I32" i="9" s="1"/>
  <c r="H9" i="9"/>
  <c r="H32" i="9" s="1"/>
  <c r="G9" i="9"/>
  <c r="G32" i="9" s="1"/>
  <c r="F9" i="9"/>
  <c r="F32" i="9" s="1"/>
  <c r="E9" i="9"/>
  <c r="E32" i="9" s="1"/>
  <c r="D9" i="9"/>
  <c r="D32" i="9" s="1"/>
  <c r="C9" i="9"/>
  <c r="C32" i="9" s="1"/>
  <c r="B9" i="9"/>
  <c r="B32" i="9" s="1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BC5" i="9"/>
  <c r="BB5" i="9"/>
  <c r="BA5" i="9"/>
  <c r="AZ5" i="9"/>
  <c r="AY5" i="9"/>
  <c r="AX5" i="9"/>
  <c r="AW5" i="9"/>
  <c r="AV5" i="9"/>
  <c r="AU5" i="9"/>
  <c r="AT5" i="9"/>
  <c r="AS5" i="9"/>
  <c r="AR5" i="9"/>
  <c r="AQ5" i="9"/>
  <c r="AP5" i="9"/>
  <c r="AO5" i="9"/>
  <c r="AN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B4" i="9"/>
  <c r="BC3" i="9"/>
  <c r="BB3" i="9"/>
  <c r="BA3" i="9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B3" i="9"/>
  <c r="Q423" i="11"/>
  <c r="P423" i="11"/>
  <c r="O423" i="11"/>
  <c r="N423" i="11"/>
  <c r="K423" i="11"/>
  <c r="J423" i="11"/>
  <c r="I423" i="11"/>
  <c r="H423" i="11"/>
  <c r="E423" i="11"/>
  <c r="D423" i="11"/>
  <c r="C423" i="11"/>
  <c r="B423" i="11"/>
  <c r="Q422" i="11"/>
  <c r="P422" i="11"/>
  <c r="O422" i="11"/>
  <c r="N422" i="11"/>
  <c r="K422" i="11"/>
  <c r="J422" i="11"/>
  <c r="I422" i="11"/>
  <c r="H422" i="11"/>
  <c r="E422" i="11"/>
  <c r="D422" i="11"/>
  <c r="C422" i="11"/>
  <c r="B422" i="11"/>
  <c r="Q395" i="11"/>
  <c r="P395" i="11"/>
  <c r="O395" i="11"/>
  <c r="N395" i="11"/>
  <c r="K395" i="11"/>
  <c r="J395" i="11"/>
  <c r="I395" i="11"/>
  <c r="H395" i="11"/>
  <c r="E395" i="11"/>
  <c r="D395" i="11"/>
  <c r="C395" i="11"/>
  <c r="B395" i="11"/>
  <c r="Q394" i="11"/>
  <c r="P394" i="11"/>
  <c r="O394" i="11"/>
  <c r="N394" i="11"/>
  <c r="K394" i="11"/>
  <c r="J394" i="11"/>
  <c r="I394" i="11"/>
  <c r="H394" i="11"/>
  <c r="E394" i="11"/>
  <c r="D394" i="11"/>
  <c r="C394" i="11"/>
  <c r="B394" i="11"/>
  <c r="Q325" i="11"/>
  <c r="P325" i="11"/>
  <c r="O325" i="11"/>
  <c r="N325" i="11"/>
  <c r="K325" i="11"/>
  <c r="J325" i="11"/>
  <c r="I325" i="11"/>
  <c r="H325" i="11"/>
  <c r="E325" i="11"/>
  <c r="D325" i="11"/>
  <c r="C325" i="11"/>
  <c r="B325" i="11"/>
  <c r="Q324" i="11"/>
  <c r="P324" i="11"/>
  <c r="O324" i="11"/>
  <c r="N324" i="11"/>
  <c r="K324" i="11"/>
  <c r="J324" i="11"/>
  <c r="I324" i="11"/>
  <c r="H324" i="11"/>
  <c r="E324" i="11"/>
  <c r="D324" i="11"/>
  <c r="C324" i="11"/>
  <c r="B324" i="11"/>
  <c r="Q228" i="7"/>
  <c r="P228" i="7"/>
  <c r="O228" i="7"/>
  <c r="N228" i="7"/>
  <c r="K228" i="7"/>
  <c r="J228" i="7"/>
  <c r="I228" i="7"/>
  <c r="H228" i="7"/>
  <c r="E228" i="7"/>
  <c r="D228" i="7"/>
  <c r="C228" i="7"/>
  <c r="B228" i="7"/>
  <c r="Q227" i="7"/>
  <c r="P227" i="7"/>
  <c r="O227" i="7"/>
  <c r="N227" i="7"/>
  <c r="K227" i="7"/>
  <c r="J227" i="7"/>
  <c r="I227" i="7"/>
  <c r="H227" i="7"/>
  <c r="E227" i="7"/>
  <c r="D227" i="7"/>
  <c r="C227" i="7"/>
  <c r="B227" i="7"/>
  <c r="Q200" i="7"/>
  <c r="P200" i="7"/>
  <c r="O200" i="7"/>
  <c r="N200" i="7"/>
  <c r="K200" i="7"/>
  <c r="J200" i="7"/>
  <c r="I200" i="7"/>
  <c r="H200" i="7"/>
  <c r="E200" i="7"/>
  <c r="D200" i="7"/>
  <c r="C200" i="7"/>
  <c r="B200" i="7"/>
  <c r="Q199" i="7"/>
  <c r="P199" i="7"/>
  <c r="O199" i="7"/>
  <c r="N199" i="7"/>
  <c r="K199" i="7"/>
  <c r="J199" i="7"/>
  <c r="I199" i="7"/>
  <c r="H199" i="7"/>
  <c r="E199" i="7"/>
  <c r="D199" i="7"/>
  <c r="C199" i="7"/>
  <c r="B199" i="7"/>
  <c r="Q102" i="7"/>
  <c r="P102" i="7"/>
  <c r="O102" i="7"/>
  <c r="N102" i="7"/>
  <c r="K102" i="7"/>
  <c r="J102" i="7"/>
  <c r="I102" i="7"/>
  <c r="H102" i="7"/>
  <c r="E102" i="7"/>
  <c r="D102" i="7"/>
  <c r="C102" i="7"/>
  <c r="B102" i="7"/>
  <c r="Q101" i="7"/>
  <c r="P101" i="7"/>
  <c r="O101" i="7"/>
  <c r="N101" i="7"/>
  <c r="K101" i="7"/>
  <c r="J101" i="7"/>
  <c r="I101" i="7"/>
  <c r="H101" i="7"/>
  <c r="E101" i="7"/>
  <c r="D101" i="7"/>
  <c r="C101" i="7"/>
  <c r="B101" i="7"/>
  <c r="Q20" i="7"/>
  <c r="P20" i="7"/>
  <c r="O20" i="7"/>
  <c r="N20" i="7"/>
  <c r="K20" i="7"/>
  <c r="J20" i="7"/>
  <c r="I20" i="7"/>
  <c r="H20" i="7"/>
  <c r="E20" i="7"/>
  <c r="D20" i="7"/>
  <c r="C20" i="7"/>
  <c r="B20" i="7"/>
  <c r="Q19" i="7"/>
  <c r="P19" i="7"/>
  <c r="O19" i="7"/>
  <c r="N19" i="7"/>
  <c r="K19" i="7"/>
  <c r="J19" i="7"/>
  <c r="I19" i="7"/>
  <c r="H19" i="7"/>
  <c r="E19" i="7"/>
  <c r="D19" i="7"/>
  <c r="C19" i="7"/>
  <c r="B19" i="7"/>
  <c r="Q18" i="7"/>
  <c r="P18" i="7"/>
  <c r="O18" i="7"/>
  <c r="N18" i="7"/>
  <c r="K18" i="7"/>
  <c r="J18" i="7"/>
  <c r="I18" i="7"/>
  <c r="H18" i="7"/>
  <c r="E18" i="7"/>
  <c r="D18" i="7"/>
  <c r="C18" i="7"/>
  <c r="B18" i="7"/>
  <c r="Q17" i="7"/>
  <c r="P17" i="7"/>
  <c r="O17" i="7"/>
  <c r="N17" i="7"/>
  <c r="K17" i="7"/>
  <c r="J17" i="7"/>
  <c r="I17" i="7"/>
  <c r="H17" i="7"/>
  <c r="E17" i="7"/>
  <c r="D17" i="7"/>
  <c r="C17" i="7"/>
  <c r="B17" i="7"/>
  <c r="Q16" i="7"/>
  <c r="P16" i="7"/>
  <c r="O16" i="7"/>
  <c r="N16" i="7"/>
  <c r="K16" i="7"/>
  <c r="J16" i="7"/>
  <c r="I16" i="7"/>
  <c r="H16" i="7"/>
  <c r="E16" i="7"/>
  <c r="D16" i="7"/>
  <c r="C16" i="7"/>
  <c r="B16" i="7"/>
  <c r="Q15" i="7"/>
  <c r="P15" i="7"/>
  <c r="O15" i="7"/>
  <c r="N15" i="7"/>
  <c r="K15" i="7"/>
  <c r="J15" i="7"/>
  <c r="I15" i="7"/>
  <c r="H15" i="7"/>
  <c r="E15" i="7"/>
  <c r="D15" i="7"/>
  <c r="C15" i="7"/>
  <c r="B15" i="7"/>
  <c r="Q14" i="7"/>
  <c r="P14" i="7"/>
  <c r="O14" i="7"/>
  <c r="N14" i="7"/>
  <c r="K14" i="7"/>
  <c r="J14" i="7"/>
  <c r="I14" i="7"/>
  <c r="H14" i="7"/>
  <c r="E14" i="7"/>
  <c r="D14" i="7"/>
  <c r="C14" i="7"/>
  <c r="B14" i="7"/>
  <c r="Q13" i="7"/>
  <c r="P13" i="7"/>
  <c r="O13" i="7"/>
  <c r="N13" i="7"/>
  <c r="K13" i="7"/>
  <c r="J13" i="7"/>
  <c r="I13" i="7"/>
  <c r="H13" i="7"/>
  <c r="E13" i="7"/>
  <c r="D13" i="7"/>
  <c r="C13" i="7"/>
  <c r="B13" i="7"/>
  <c r="Q12" i="7"/>
  <c r="P12" i="7"/>
  <c r="O12" i="7"/>
  <c r="N12" i="7"/>
  <c r="K12" i="7"/>
  <c r="J12" i="7"/>
  <c r="I12" i="7"/>
  <c r="H12" i="7"/>
  <c r="E12" i="7"/>
  <c r="D12" i="7"/>
  <c r="C12" i="7"/>
  <c r="B12" i="7"/>
  <c r="O10" i="7"/>
  <c r="N10" i="7"/>
  <c r="I10" i="7"/>
  <c r="H10" i="7"/>
  <c r="C10" i="7"/>
  <c r="B10" i="7"/>
  <c r="B5" i="7"/>
  <c r="Q76" i="9" l="1"/>
  <c r="P76" i="9"/>
  <c r="I76" i="9"/>
  <c r="H76" i="9"/>
  <c r="O76" i="9"/>
  <c r="G76" i="9"/>
  <c r="N76" i="9"/>
  <c r="F76" i="9"/>
  <c r="Q83" i="9"/>
  <c r="M76" i="9"/>
  <c r="E76" i="9"/>
  <c r="P83" i="9"/>
  <c r="L76" i="9"/>
  <c r="D76" i="9"/>
  <c r="I83" i="9"/>
  <c r="K76" i="9"/>
  <c r="C76" i="9"/>
  <c r="H83" i="9"/>
  <c r="J76" i="9"/>
  <c r="B76" i="9"/>
  <c r="O83" i="9"/>
  <c r="G83" i="9"/>
  <c r="N83" i="9"/>
  <c r="F83" i="9"/>
  <c r="M83" i="9"/>
  <c r="E83" i="9"/>
  <c r="D83" i="9"/>
  <c r="K83" i="9"/>
  <c r="C83" i="9"/>
  <c r="L83" i="9"/>
  <c r="J83" i="9"/>
  <c r="B83" i="9"/>
  <c r="H89" i="9"/>
  <c r="G89" i="9"/>
  <c r="Q89" i="9"/>
  <c r="P89" i="9"/>
  <c r="O89" i="9"/>
  <c r="I89" i="9"/>
  <c r="N89" i="9"/>
  <c r="F89" i="9"/>
  <c r="E89" i="9"/>
  <c r="M89" i="9"/>
  <c r="L89" i="9"/>
  <c r="D89" i="9"/>
  <c r="K89" i="9"/>
  <c r="C89" i="9"/>
  <c r="J89" i="9"/>
  <c r="B89" i="9"/>
  <c r="X150" i="9"/>
  <c r="F155" i="9"/>
  <c r="AR152" i="9"/>
  <c r="F154" i="9"/>
  <c r="AR154" i="9"/>
  <c r="AR150" i="9"/>
  <c r="F152" i="9"/>
  <c r="AR151" i="9"/>
  <c r="F149" i="9"/>
  <c r="F151" i="9"/>
  <c r="AR155" i="9"/>
  <c r="X154" i="9"/>
  <c r="AR149" i="9"/>
  <c r="F153" i="9"/>
  <c r="X151" i="9"/>
  <c r="X149" i="9"/>
  <c r="F150" i="9"/>
  <c r="X153" i="9"/>
  <c r="X15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Cheng Wendi</author>
  </authors>
  <commentList>
    <comment ref="L21" authorId="0" shapeId="0" xr:uid="{00000000-0006-0000-0900-000001000000}">
      <text>
        <r>
          <rPr>
            <b/>
            <sz val="10"/>
            <color rgb="FF000000"/>
            <rFont val="Microsoft YaHei UI"/>
            <family val="2"/>
            <charset val="134"/>
          </rPr>
          <t>Cheng Wendi:</t>
        </r>
        <r>
          <rPr>
            <sz val="10"/>
            <color rgb="FF000000"/>
            <rFont val="Microsoft YaHei UI"/>
            <family val="2"/>
            <charset val="134"/>
          </rPr>
          <t xml:space="preserve">
已和嘉中心金惠良医生确认，56为笔误，改为36</t>
        </r>
      </text>
    </comment>
  </commentList>
</comments>
</file>

<file path=xl/sharedStrings.xml><?xml version="1.0" encoding="utf-8"?>
<sst xmlns="http://schemas.openxmlformats.org/spreadsheetml/2006/main" count="5151" uniqueCount="454">
  <si>
    <t>Input parameters, changeable</t>
  </si>
  <si>
    <t>Calculation formula, not changeable</t>
  </si>
  <si>
    <t>Analysis Plan</t>
  </si>
  <si>
    <t>Scenario 1</t>
  </si>
  <si>
    <t>Scenario 2</t>
  </si>
  <si>
    <t>Scenario 3</t>
  </si>
  <si>
    <t>Number of CDDS/SPDDS devices</t>
  </si>
  <si>
    <t>CDDS/SPDDS daily service volume (person-times)</t>
  </si>
  <si>
    <t xml:space="preserve">CDDS service volume per day (person-times) </t>
  </si>
  <si>
    <t>SPDDS service volume per day (person-times)</t>
  </si>
  <si>
    <t>daily service volume (person-times)</t>
  </si>
  <si>
    <t>Cost Composition</t>
  </si>
  <si>
    <t>CDDS single treatment cost</t>
  </si>
  <si>
    <t>SPDDS single treatment cost</t>
  </si>
  <si>
    <t>CDDS Single Treatment Cost Savings</t>
  </si>
  <si>
    <t>Reduction</t>
  </si>
  <si>
    <t>CDDS cost per day of treatment</t>
  </si>
  <si>
    <t>SPDDS cost per day of treatment</t>
  </si>
  <si>
    <t>CDDS  Cost Savings per day of treatmen</t>
  </si>
  <si>
    <t>CDDS Cost per year of treatment</t>
  </si>
  <si>
    <t>SPDDS Cost per year of treatment</t>
  </si>
  <si>
    <t>CDDS Cost Savings per year of treatment</t>
  </si>
  <si>
    <t>Labor Cost</t>
  </si>
  <si>
    <t>Equipment Cost</t>
  </si>
  <si>
    <t>Consumable Cost</t>
  </si>
  <si>
    <t>Learning Cost</t>
  </si>
  <si>
    <t>Misuse Cost</t>
  </si>
  <si>
    <t>Storage space cost</t>
  </si>
  <si>
    <t>Total</t>
  </si>
  <si>
    <t>直接成本</t>
  </si>
  <si>
    <t>间接成本</t>
  </si>
  <si>
    <t>5 devices</t>
  </si>
  <si>
    <t>No cost savings</t>
  </si>
  <si>
    <t>6 devices</t>
  </si>
  <si>
    <t>Cost savings</t>
  </si>
  <si>
    <t>7 devices</t>
  </si>
  <si>
    <t>8 devices</t>
  </si>
  <si>
    <t>9 devices</t>
  </si>
  <si>
    <t>10 devices</t>
  </si>
  <si>
    <t>11 devices</t>
  </si>
  <si>
    <t>12 devices</t>
  </si>
  <si>
    <t>15 devices</t>
  </si>
  <si>
    <t>20 devices</t>
  </si>
  <si>
    <t>25 devices</t>
  </si>
  <si>
    <t>30 devices</t>
  </si>
  <si>
    <t>35 devices</t>
  </si>
  <si>
    <t>40 devices</t>
  </si>
  <si>
    <t>45 devices</t>
  </si>
  <si>
    <t>50 devices</t>
  </si>
  <si>
    <t>4 devices</t>
  </si>
  <si>
    <t>CDDS Single Treatment Cost Savings Reduction</t>
  </si>
  <si>
    <t>CDDS  Cost Savings per day of treatmen Reduction</t>
  </si>
  <si>
    <t>CDDS Cost Savings per year of treatment Reduction</t>
  </si>
  <si>
    <t>Components of cost savings</t>
  </si>
  <si>
    <t>CDDS  Cost Savings per day of treatment</t>
  </si>
  <si>
    <t>CDDS Cost Calculation Model</t>
  </si>
  <si>
    <t>Labor inputs</t>
  </si>
  <si>
    <t>CDDS-Nursing Staff Inputs</t>
  </si>
  <si>
    <t>SPDDS-Nursing Staff Inputs</t>
  </si>
  <si>
    <t>Pre-Dialysis</t>
  </si>
  <si>
    <t>Number of treatments per day</t>
  </si>
  <si>
    <t>Dialysate material preparation</t>
  </si>
  <si>
    <t>Single treatment</t>
  </si>
  <si>
    <t>mins</t>
  </si>
  <si>
    <t>Time</t>
  </si>
  <si>
    <t>Cost</t>
  </si>
  <si>
    <t>CNY</t>
  </si>
  <si>
    <t>Treatments per day</t>
  </si>
  <si>
    <t>Treatments per year</t>
  </si>
  <si>
    <t>self-check of dialysis machine until precharging is complete</t>
  </si>
  <si>
    <t>On dialysis</t>
  </si>
  <si>
    <t>the time of transfer patients' blood to dialysis machine</t>
  </si>
  <si>
    <t>disposal during dialysis</t>
  </si>
  <si>
    <t xml:space="preserve"> reinfusion</t>
  </si>
  <si>
    <t>Post-dialysis</t>
  </si>
  <si>
    <t>drainage</t>
  </si>
  <si>
    <t>waste liquid handling</t>
  </si>
  <si>
    <t>disinfection</t>
  </si>
  <si>
    <t>Nursing Staff</t>
  </si>
  <si>
    <t>saving</t>
  </si>
  <si>
    <t>CDDS-Engineer Staff</t>
  </si>
  <si>
    <t>SPDDS-Engineer Staff</t>
  </si>
  <si>
    <t>AB powder dissolution</t>
  </si>
  <si>
    <t>AB Liquid Handling</t>
  </si>
  <si>
    <t>equipment maintenance</t>
  </si>
  <si>
    <t>equipment malfunction repair</t>
  </si>
  <si>
    <t>addition of disinfectant solution</t>
  </si>
  <si>
    <t>Engineer Staff</t>
  </si>
  <si>
    <t>CDDS-Worker Staff</t>
  </si>
  <si>
    <t>SPDDS--Worker Staff</t>
  </si>
  <si>
    <t xml:space="preserve">AB Liquid Handling								</t>
  </si>
  <si>
    <t>Worker Staff</t>
  </si>
  <si>
    <t>Total Labor Costs</t>
  </si>
  <si>
    <t>CDDS</t>
  </si>
  <si>
    <t>SPDDS</t>
  </si>
  <si>
    <t>1. Equipment</t>
  </si>
  <si>
    <t>Brand</t>
  </si>
  <si>
    <t>Price(CNY)</t>
  </si>
  <si>
    <t>Number (units)</t>
  </si>
  <si>
    <t>Total annual cost (CNY)</t>
  </si>
  <si>
    <t>Powder dissolution equipment, dialysis fluid supply equipment</t>
  </si>
  <si>
    <t>JMS</t>
  </si>
  <si>
    <t>Hemodialysis equipment</t>
  </si>
  <si>
    <t>No distinction between brands</t>
  </si>
  <si>
    <t>Equipment cost</t>
  </si>
  <si>
    <t>2.Depreciation of equipment</t>
  </si>
  <si>
    <t>Depreciable life (years)</t>
  </si>
  <si>
    <t xml:space="preserve">Residual value rate (%)	</t>
  </si>
  <si>
    <t>reference</t>
  </si>
  <si>
    <t>[1]杨晓雁.设备折旧计算方法[J].信息技术,2011,35(07):189-191.DOI:10.13274/j.cnki.hdzj.2011.07.013.</t>
  </si>
  <si>
    <t>Annual treatment depreciation of equipment cost</t>
  </si>
  <si>
    <t>Daily treatment depreciation of equipment cost</t>
  </si>
  <si>
    <t>Single treatment depreciation of equipment cost</t>
  </si>
  <si>
    <t>CDDS annual treatment depreciation of equipment cost savings</t>
  </si>
  <si>
    <t>CDDS daily treatment depreciation of equipment cost savings</t>
  </si>
  <si>
    <t>CDDS single  treatment depreciation of equipment savings</t>
  </si>
  <si>
    <t>3. Equipment maintenance</t>
  </si>
  <si>
    <t>Annual equipment maintenance cost per unit (CNY)</t>
  </si>
  <si>
    <t>Annual equipment maintenance cost (CNY)</t>
  </si>
  <si>
    <t>Powder dissolution equipment, dialysis fluid supply equipment, Hemodialysis equipment</t>
  </si>
  <si>
    <t>Annual treatment equipment maintenance cost</t>
  </si>
  <si>
    <t>Daily treatment equipment maintenance cost</t>
  </si>
  <si>
    <t>Single treatment equipment maintenance cost</t>
  </si>
  <si>
    <t>CDDS annual treatment equipment maintenance cost savings</t>
  </si>
  <si>
    <t>CDDS daily treatment equipment maintenance cost savings</t>
  </si>
  <si>
    <t>CDDS single  treatment equipment maintenance cost savings</t>
  </si>
  <si>
    <t>Single treatment equipment and maintenance cost</t>
  </si>
  <si>
    <t>Daily treatment equipment and maintenance costs</t>
  </si>
  <si>
    <t>Annual treatment equipment and maintenance cost</t>
  </si>
  <si>
    <t>CDDS single  treatment  equipment and maintenance cost savings</t>
  </si>
  <si>
    <t>CDDS daily treatment equipment and maintenance cost savings</t>
  </si>
  <si>
    <t>CDDS annual treatment  equipment and maintenance cost savings</t>
  </si>
  <si>
    <t>consumable costs</t>
  </si>
  <si>
    <t>Scenario 1&amp;2</t>
  </si>
  <si>
    <t>Tubing-single treatment</t>
  </si>
  <si>
    <t>unit</t>
  </si>
  <si>
    <t>Tubing-daily treatment</t>
  </si>
  <si>
    <t>Tubing-annual treatment</t>
  </si>
  <si>
    <t>Heparin-single treatment</t>
  </si>
  <si>
    <t>Heparin-daily treatment</t>
  </si>
  <si>
    <t>Heparin-annual treatment</t>
  </si>
  <si>
    <t>A powder-single treatment</t>
  </si>
  <si>
    <t>A liquid-single treatment</t>
  </si>
  <si>
    <t>A powder-daily treatment</t>
  </si>
  <si>
    <t>A liquid-daily treatment</t>
  </si>
  <si>
    <t>A powder-annual treatment</t>
  </si>
  <si>
    <t>A liquid-annual treatment</t>
  </si>
  <si>
    <t>B powder-single treatment</t>
  </si>
  <si>
    <t>B liquid-single treatment</t>
  </si>
  <si>
    <t>B powder-daily treatment</t>
  </si>
  <si>
    <t>B liquid-daily treatment</t>
  </si>
  <si>
    <t>B powder-annual treatment</t>
  </si>
  <si>
    <t>B liquid-annual treatment</t>
  </si>
  <si>
    <t>Saline solution-single treatment</t>
  </si>
  <si>
    <t>L</t>
  </si>
  <si>
    <t>Saline solution-daily treatment</t>
  </si>
  <si>
    <t>Saline solution-annual treatment</t>
  </si>
  <si>
    <t>Dialyzer-single treatment</t>
  </si>
  <si>
    <t>Dialyzer-daily treatment</t>
  </si>
  <si>
    <t>Dialyzer-annual treatment</t>
  </si>
  <si>
    <t>Waste liquid bag-single treatment</t>
  </si>
  <si>
    <t>Waste liquid bag-daily treatment</t>
  </si>
  <si>
    <t>Waste liquid bag-annual treatment</t>
  </si>
  <si>
    <t>Single treatment consumables cost</t>
  </si>
  <si>
    <t>Daily treatment consumables cost</t>
  </si>
  <si>
    <t>Annual treatment consumables cost</t>
  </si>
  <si>
    <t>On-Dialysis</t>
  </si>
  <si>
    <t>Post-Dialysis</t>
  </si>
  <si>
    <t>Peracetic acid disinfectant-daily treatment</t>
  </si>
  <si>
    <t>Citric acid disinfectant-single treatment</t>
  </si>
  <si>
    <t>3L per day per unit</t>
  </si>
  <si>
    <t>Peracetic acid disinfectant-annual treatment</t>
  </si>
  <si>
    <t>Citric acid disinfectant-annual treatment</t>
  </si>
  <si>
    <t>Peracetic acid disinfectant-single treatment</t>
  </si>
  <si>
    <t>Sodium hypochlorite disinfectant-daily treatment</t>
  </si>
  <si>
    <t>Sodium hypochlorite disinfectant-single treatment</t>
  </si>
  <si>
    <t>4-5L per day per unit</t>
  </si>
  <si>
    <t>Sodium hypochlorite disinfectant-annual treatment</t>
  </si>
  <si>
    <t>other consumable costs</t>
  </si>
  <si>
    <t>ETRF JP80-annual treatment</t>
  </si>
  <si>
    <t>Dialysate filter-annual treatment</t>
  </si>
  <si>
    <t>JP80=Number of equipment*2</t>
  </si>
  <si>
    <t>SPDDSDialysate Filter=Number of equipment*8</t>
  </si>
  <si>
    <t>ETRF JP80-daily treatment</t>
  </si>
  <si>
    <t>Dialysate filter-daily treatment</t>
  </si>
  <si>
    <t>ETRF JP80-single treatment</t>
  </si>
  <si>
    <t>Dialysate filter-single treatment</t>
  </si>
  <si>
    <t>C40A-annual treatment</t>
  </si>
  <si>
    <t>other consumable -annual treatment</t>
  </si>
  <si>
    <t>C40A=1 unit+1 unit per 15 equipment</t>
  </si>
  <si>
    <t>C40A-daily treatment</t>
  </si>
  <si>
    <t>other consumable -daily treatment</t>
  </si>
  <si>
    <t>C40A-single treatment</t>
  </si>
  <si>
    <t>other consumable -single treatment</t>
  </si>
  <si>
    <t>Total consumable costs</t>
  </si>
  <si>
    <t>CDDS single  treatment consumables cost savings</t>
  </si>
  <si>
    <t>CDDS daily treatment consumables cost savings</t>
  </si>
  <si>
    <t>CDDS annual treatment consumables cost savings</t>
  </si>
  <si>
    <t>Equipment learning costs</t>
  </si>
  <si>
    <t>Learning hours</t>
  </si>
  <si>
    <t>day</t>
  </si>
  <si>
    <t>cost</t>
  </si>
  <si>
    <t>Daily treatment learning hours</t>
  </si>
  <si>
    <t>Annual treatment learning hours</t>
  </si>
  <si>
    <t>CDDS annual treatment equipment learning cost savings</t>
  </si>
  <si>
    <t>CDDS daily treatment equipment learning cost savings</t>
  </si>
  <si>
    <t>CDDS single treatment equipment learning cost savings</t>
  </si>
  <si>
    <t>Equipment misoperation costs</t>
  </si>
  <si>
    <t>Number of misoperations per month</t>
  </si>
  <si>
    <t>times/month</t>
  </si>
  <si>
    <t>Treatment time delayed per misoperation</t>
  </si>
  <si>
    <t>mins/time</t>
  </si>
  <si>
    <t>Treatment time delayed per year misoperation</t>
  </si>
  <si>
    <t>mins/year</t>
  </si>
  <si>
    <t>Treatment time delayed per day misoperation</t>
  </si>
  <si>
    <t>mins/day</t>
  </si>
  <si>
    <t>Treatment time delayed for single treatment misoperation</t>
  </si>
  <si>
    <t>mins/visit</t>
  </si>
  <si>
    <t>CDDS annual treatment equipment misoperation cost savings</t>
  </si>
  <si>
    <t>CDDS daily treatment equipment misoperation cost savings</t>
  </si>
  <si>
    <t>CDDS single treatment equipment misoperation cost savings</t>
  </si>
  <si>
    <t>Equipment placement space costs</t>
  </si>
  <si>
    <t>Annual treatment storage area</t>
  </si>
  <si>
    <t>m2</t>
  </si>
  <si>
    <t>上海市城乡建设用地基准地价：公共管理与公共服务用地一类1级，11790元/平方米；使用年限50年</t>
  </si>
  <si>
    <t>Share of daily treatment storage area</t>
  </si>
  <si>
    <t>https://hd.ghzyj.sh.gov.cn/tdgl/jzdjgxcg/201412/t20141222_643382.html</t>
  </si>
  <si>
    <t>Share of single treatment storage area</t>
  </si>
  <si>
    <t>CDDS annual treatment equipment placement space cost savings</t>
  </si>
  <si>
    <t>CDDS daily treatment equipment placement space cost savings</t>
  </si>
  <si>
    <t>CDDS single treatment equipment placement space cost savings</t>
  </si>
  <si>
    <t>Indirect costs</t>
  </si>
  <si>
    <t>Annual treatment indirect cost</t>
  </si>
  <si>
    <t>Daily treatment indirect cost</t>
  </si>
  <si>
    <t>Single treatment indirect cost</t>
  </si>
  <si>
    <t>CDDS annual treatment indirect cost savings</t>
  </si>
  <si>
    <t>CDDS daily treatment indirect cost savings</t>
  </si>
  <si>
    <t>CDDS single treatment indirect cost savings</t>
  </si>
  <si>
    <t xml:space="preserve">Remuneration scales for various categories of personnel									</t>
  </si>
  <si>
    <t>Total annual remuneration (CNY)</t>
  </si>
  <si>
    <t xml:space="preserve">Number of weeks worked per year (weeks)	</t>
  </si>
  <si>
    <t>Number of days worked per week (days)</t>
  </si>
  <si>
    <t>Hours worked per day (hours)</t>
  </si>
  <si>
    <t>Hours worked per year (minutes)</t>
  </si>
  <si>
    <t>Pay per unit of time (CNY/min)</t>
  </si>
  <si>
    <t xml:space="preserve">Average pay (CNY/min)	</t>
  </si>
  <si>
    <t>Average pay (CNY/year)</t>
  </si>
  <si>
    <t>Source</t>
  </si>
  <si>
    <t>nurse consultant,  Nephrology</t>
  </si>
  <si>
    <t>Hospital Research</t>
  </si>
  <si>
    <t>vice nurse consultant</t>
  </si>
  <si>
    <t>chief nurse,  Nephrology</t>
  </si>
  <si>
    <t>senior nurse,  Nephrology</t>
  </si>
  <si>
    <t>junior nurse,  Nephrology</t>
  </si>
  <si>
    <t>Senior Engineer, Hemodialysis Laboratory</t>
  </si>
  <si>
    <t>Deputy Senior Engineer, Hemodialysis Laboratory</t>
  </si>
  <si>
    <t>Engineer, Hemodialysis Laboratory</t>
  </si>
  <si>
    <t xml:space="preserve">Assistant Engineer, Hemodialysis Laboratory </t>
  </si>
  <si>
    <t>Technician, Hemodialysis Laboratory</t>
  </si>
  <si>
    <t>Other Personnel - Porter</t>
  </si>
  <si>
    <t>China Statistical Yearbook 2022, corrected with hospital research</t>
  </si>
  <si>
    <t>Hospital Procurement Data-1</t>
  </si>
  <si>
    <t>Hospital Procurement Data-2</t>
  </si>
  <si>
    <t>Hospital Procurement Data-3</t>
  </si>
  <si>
    <t>Yaozhi Devices Winning Bid Data</t>
  </si>
  <si>
    <t xml:space="preserve">Consumable </t>
  </si>
  <si>
    <r>
      <rPr>
        <b/>
        <sz val="18"/>
        <color rgb="FF000000"/>
        <rFont val="Times New Roman"/>
        <family val="1"/>
      </rPr>
      <t>Mean</t>
    </r>
    <r>
      <rPr>
        <b/>
        <sz val="18"/>
        <color rgb="FF000000"/>
        <rFont val="宋体"/>
        <family val="3"/>
        <charset val="134"/>
      </rPr>
      <t>（</t>
    </r>
    <r>
      <rPr>
        <b/>
        <sz val="18"/>
        <color rgb="FF000000"/>
        <rFont val="Times New Roman"/>
        <family val="1"/>
      </rPr>
      <t>CNY</t>
    </r>
    <r>
      <rPr>
        <b/>
        <sz val="18"/>
        <color rgb="FF000000"/>
        <rFont val="宋体"/>
        <family val="3"/>
        <charset val="134"/>
      </rPr>
      <t>）</t>
    </r>
  </si>
  <si>
    <t>Name</t>
  </si>
  <si>
    <t>Specification</t>
  </si>
  <si>
    <t>Unit price (CNY)</t>
  </si>
  <si>
    <t>Price Year</t>
  </si>
  <si>
    <r>
      <rPr>
        <b/>
        <sz val="14"/>
        <color rgb="FF000000"/>
        <rFont val="Times New Roman"/>
        <family val="1"/>
      </rPr>
      <t>Tubing</t>
    </r>
    <r>
      <rPr>
        <b/>
        <sz val="14"/>
        <color rgb="FF000000"/>
        <rFont val="宋体"/>
        <family val="3"/>
        <charset val="134"/>
      </rPr>
      <t>（</t>
    </r>
    <r>
      <rPr>
        <b/>
        <sz val="14"/>
        <color rgb="FF000000"/>
        <rFont val="Times New Roman"/>
        <family val="1"/>
      </rPr>
      <t>SPDDS&amp;CDDS</t>
    </r>
    <r>
      <rPr>
        <b/>
        <sz val="14"/>
        <color rgb="FF000000"/>
        <rFont val="宋体"/>
        <family val="3"/>
        <charset val="134"/>
      </rPr>
      <t>）</t>
    </r>
  </si>
  <si>
    <t>SPDDS Tubing</t>
  </si>
  <si>
    <r>
      <rPr>
        <sz val="12"/>
        <color rgb="FF000000"/>
        <rFont val="宋体"/>
        <family val="3"/>
        <charset val="134"/>
      </rPr>
      <t>血液净化装置的体外循环血路</t>
    </r>
  </si>
  <si>
    <t>JRHLL-020</t>
  </si>
  <si>
    <r>
      <rPr>
        <sz val="12"/>
        <color rgb="FF000000"/>
        <rFont val="宋体"/>
        <family val="3"/>
        <charset val="134"/>
      </rPr>
      <t>威高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宋体"/>
        <family val="3"/>
        <charset val="134"/>
      </rPr>
      <t>贝朗</t>
    </r>
  </si>
  <si>
    <r>
      <rPr>
        <sz val="12"/>
        <color theme="1"/>
        <rFont val="SimSun"/>
        <family val="3"/>
        <charset val="134"/>
      </rPr>
      <t>血液净化装置的体外循环血路</t>
    </r>
  </si>
  <si>
    <t>BAIN-BL006</t>
  </si>
  <si>
    <r>
      <rPr>
        <sz val="12"/>
        <color theme="1"/>
        <rFont val="SimSun"/>
        <family val="3"/>
        <charset val="134"/>
      </rPr>
      <t>贝朗</t>
    </r>
  </si>
  <si>
    <r>
      <rPr>
        <sz val="12"/>
        <color rgb="FF000000"/>
        <rFont val="宋体"/>
        <family val="3"/>
        <charset val="134"/>
      </rPr>
      <t>血液净化体外循环血路</t>
    </r>
  </si>
  <si>
    <t>AV-SetONLINEplus5008-R</t>
  </si>
  <si>
    <r>
      <rPr>
        <sz val="12"/>
        <color rgb="FF000000"/>
        <rFont val="宋体"/>
        <family val="3"/>
        <charset val="134"/>
      </rPr>
      <t>费森</t>
    </r>
  </si>
  <si>
    <t>Tubing</t>
  </si>
  <si>
    <t>SPDDS Tubing(no distinction between single and double pumps)</t>
  </si>
  <si>
    <r>
      <rPr>
        <sz val="12"/>
        <color theme="1"/>
        <rFont val="SimSun"/>
        <family val="3"/>
        <charset val="134"/>
      </rPr>
      <t>血液净化体外循环血路</t>
    </r>
  </si>
  <si>
    <t>JRHLL-020 34A</t>
  </si>
  <si>
    <r>
      <rPr>
        <sz val="12"/>
        <color theme="1"/>
        <rFont val="SimSun"/>
        <family val="3"/>
        <charset val="134"/>
      </rPr>
      <t>威高</t>
    </r>
  </si>
  <si>
    <t>SPDDS Tubing(single pumps)</t>
  </si>
  <si>
    <t>CDDS Tubing</t>
  </si>
  <si>
    <t>is01-018-00-01</t>
  </si>
  <si>
    <t>Heparin</t>
  </si>
  <si>
    <r>
      <rPr>
        <sz val="12"/>
        <color rgb="FF000000"/>
        <rFont val="宋体"/>
        <family val="3"/>
        <charset val="134"/>
      </rPr>
      <t>普通肝素</t>
    </r>
  </si>
  <si>
    <r>
      <rPr>
        <sz val="12"/>
        <color rgb="FF000000"/>
        <rFont val="Times New Roman"/>
        <family val="1"/>
      </rPr>
      <t>12500U/</t>
    </r>
    <r>
      <rPr>
        <sz val="12"/>
        <color rgb="FF000000"/>
        <rFont val="宋体"/>
        <family val="3"/>
        <charset val="134"/>
      </rPr>
      <t>支</t>
    </r>
  </si>
  <si>
    <r>
      <rPr>
        <sz val="12"/>
        <color theme="1"/>
        <rFont val="SimSun"/>
        <family val="3"/>
        <charset val="134"/>
      </rPr>
      <t>普通肝素</t>
    </r>
  </si>
  <si>
    <r>
      <rPr>
        <sz val="12"/>
        <color theme="1"/>
        <rFont val="Times New Roman"/>
        <family val="1"/>
      </rPr>
      <t>12500U/</t>
    </r>
    <r>
      <rPr>
        <sz val="12"/>
        <color theme="1"/>
        <rFont val="SimSun"/>
        <family val="3"/>
        <charset val="134"/>
      </rPr>
      <t>支</t>
    </r>
  </si>
  <si>
    <t>/</t>
  </si>
  <si>
    <t>AB powder</t>
  </si>
  <si>
    <r>
      <rPr>
        <sz val="12"/>
        <color rgb="FF000000"/>
        <rFont val="宋体"/>
        <family val="3"/>
        <charset val="134"/>
      </rPr>
      <t>血液透析粉</t>
    </r>
  </si>
  <si>
    <r>
      <rPr>
        <sz val="12"/>
        <color rgb="FF000000"/>
        <rFont val="Times New Roman"/>
        <family val="1"/>
      </rPr>
      <t>A+B</t>
    </r>
    <r>
      <rPr>
        <sz val="12"/>
        <color rgb="FF000000"/>
        <rFont val="宋体"/>
        <family val="3"/>
        <charset val="134"/>
      </rPr>
      <t>粉（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宋体"/>
        <family val="3"/>
        <charset val="134"/>
      </rPr>
      <t>人）</t>
    </r>
  </si>
  <si>
    <r>
      <rPr>
        <sz val="12"/>
        <color rgb="FF000000"/>
        <rFont val="宋体"/>
        <family val="3"/>
        <charset val="134"/>
      </rPr>
      <t>普瑞森</t>
    </r>
  </si>
  <si>
    <r>
      <rPr>
        <sz val="12"/>
        <color theme="1"/>
        <rFont val="SimSun"/>
        <family val="3"/>
        <charset val="134"/>
      </rPr>
      <t>血液透析粉</t>
    </r>
  </si>
  <si>
    <r>
      <rPr>
        <sz val="12"/>
        <color theme="1"/>
        <rFont val="Times New Roman"/>
        <family val="1"/>
      </rPr>
      <t>A+B</t>
    </r>
    <r>
      <rPr>
        <sz val="12"/>
        <color theme="1"/>
        <rFont val="SimSun"/>
        <family val="3"/>
        <charset val="134"/>
      </rPr>
      <t>粉（</t>
    </r>
    <r>
      <rPr>
        <sz val="12"/>
        <color theme="1"/>
        <rFont val="Times New Roman"/>
        <family val="1"/>
      </rPr>
      <t>/</t>
    </r>
    <r>
      <rPr>
        <sz val="12"/>
        <color theme="1"/>
        <rFont val="SimSun"/>
        <family val="3"/>
        <charset val="134"/>
      </rPr>
      <t>人）</t>
    </r>
  </si>
  <si>
    <r>
      <rPr>
        <sz val="12"/>
        <color theme="1"/>
        <rFont val="SimSun"/>
        <family val="3"/>
        <charset val="134"/>
      </rPr>
      <t>紫京城</t>
    </r>
  </si>
  <si>
    <t>A powder</t>
  </si>
  <si>
    <r>
      <rPr>
        <sz val="12"/>
        <color rgb="FF000000"/>
        <rFont val="宋体"/>
        <family val="3"/>
        <charset val="134"/>
      </rPr>
      <t>透析用干粉（费森专用）</t>
    </r>
  </si>
  <si>
    <t>650g</t>
  </si>
  <si>
    <r>
      <rPr>
        <sz val="12"/>
        <color rgb="FF000000"/>
        <rFont val="宋体"/>
        <family val="3"/>
        <charset val="134"/>
      </rPr>
      <t>透析用碳酸氢钠干粉</t>
    </r>
  </si>
  <si>
    <t>B powder</t>
  </si>
  <si>
    <t>A liquid</t>
  </si>
  <si>
    <r>
      <rPr>
        <sz val="12"/>
        <color rgb="FF000000"/>
        <rFont val="宋体"/>
        <family val="3"/>
        <charset val="134"/>
      </rPr>
      <t>血液透析浓缩液</t>
    </r>
  </si>
  <si>
    <r>
      <rPr>
        <sz val="12"/>
        <color rgb="FF000000"/>
        <rFont val="Times New Roman"/>
        <family val="1"/>
      </rPr>
      <t>AH01-II 35X (A</t>
    </r>
    <r>
      <rPr>
        <sz val="12"/>
        <color rgb="FF000000"/>
        <rFont val="宋体"/>
        <family val="3"/>
        <charset val="134"/>
      </rPr>
      <t>液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装量</t>
    </r>
    <r>
      <rPr>
        <sz val="12"/>
        <color rgb="FF000000"/>
        <rFont val="Times New Roman"/>
        <family val="1"/>
      </rPr>
      <t>:5L A01-1.75)</t>
    </r>
  </si>
  <si>
    <r>
      <rPr>
        <sz val="12"/>
        <color rgb="FF000000"/>
        <rFont val="宋体"/>
        <family val="3"/>
        <charset val="134"/>
      </rPr>
      <t>常州华岳</t>
    </r>
  </si>
  <si>
    <r>
      <rPr>
        <sz val="12"/>
        <color theme="1"/>
        <rFont val="SimSun"/>
        <family val="3"/>
        <charset val="134"/>
      </rPr>
      <t>血液透析浓缩液</t>
    </r>
  </si>
  <si>
    <r>
      <rPr>
        <sz val="12"/>
        <color theme="1"/>
        <rFont val="Times New Roman"/>
        <family val="1"/>
      </rPr>
      <t>AH01-II 35X (A</t>
    </r>
    <r>
      <rPr>
        <sz val="12"/>
        <color theme="1"/>
        <rFont val="SimSun"/>
        <family val="3"/>
        <charset val="134"/>
      </rPr>
      <t>液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imSun"/>
        <family val="3"/>
        <charset val="134"/>
      </rPr>
      <t>装量</t>
    </r>
    <r>
      <rPr>
        <sz val="12"/>
        <color theme="1"/>
        <rFont val="Times New Roman"/>
        <family val="1"/>
      </rPr>
      <t>:5L A02-1.5)</t>
    </r>
  </si>
  <si>
    <r>
      <rPr>
        <sz val="12"/>
        <color theme="1"/>
        <rFont val="SimSun"/>
        <family val="3"/>
        <charset val="134"/>
      </rPr>
      <t>常州华岳</t>
    </r>
  </si>
  <si>
    <r>
      <rPr>
        <sz val="12"/>
        <color rgb="FF000000"/>
        <rFont val="Times New Roman"/>
        <family val="1"/>
      </rPr>
      <t>10L/2</t>
    </r>
    <r>
      <rPr>
        <sz val="12"/>
        <color rgb="FF000000"/>
        <rFont val="宋体"/>
        <family val="3"/>
        <charset val="134"/>
      </rPr>
      <t>人份</t>
    </r>
  </si>
  <si>
    <r>
      <rPr>
        <sz val="12"/>
        <color rgb="FF000000"/>
        <rFont val="Times New Roman"/>
        <family val="1"/>
      </rPr>
      <t>AH01-II 35X (A</t>
    </r>
    <r>
      <rPr>
        <sz val="12"/>
        <color rgb="FF000000"/>
        <rFont val="宋体"/>
        <family val="3"/>
        <charset val="134"/>
      </rPr>
      <t>液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装量</t>
    </r>
    <r>
      <rPr>
        <sz val="12"/>
        <color rgb="FF000000"/>
        <rFont val="Times New Roman"/>
        <family val="1"/>
      </rPr>
      <t>:5L A02-1.5)</t>
    </r>
  </si>
  <si>
    <r>
      <rPr>
        <sz val="12"/>
        <color theme="1"/>
        <rFont val="Times New Roman"/>
        <family val="1"/>
      </rPr>
      <t>AH01-II 35X(A</t>
    </r>
    <r>
      <rPr>
        <sz val="12"/>
        <color theme="1"/>
        <rFont val="SimSun"/>
        <family val="3"/>
        <charset val="134"/>
      </rPr>
      <t>液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imSun"/>
        <family val="3"/>
        <charset val="134"/>
      </rPr>
      <t>装量：</t>
    </r>
    <r>
      <rPr>
        <sz val="12"/>
        <color theme="1"/>
        <rFont val="Times New Roman"/>
        <family val="1"/>
      </rPr>
      <t>5L A03-1.25)</t>
    </r>
  </si>
  <si>
    <t>Hemodialysis Concentrate</t>
  </si>
  <si>
    <r>
      <rPr>
        <sz val="12"/>
        <color rgb="FF000000"/>
        <rFont val="Times New Roman"/>
        <family val="1"/>
      </rPr>
      <t>AH01-II 35X(A</t>
    </r>
    <r>
      <rPr>
        <sz val="12"/>
        <color rgb="FF000000"/>
        <rFont val="宋体"/>
        <family val="3"/>
        <charset val="134"/>
      </rPr>
      <t>液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装量：</t>
    </r>
    <r>
      <rPr>
        <sz val="12"/>
        <color rgb="FF000000"/>
        <rFont val="Times New Roman"/>
        <family val="1"/>
      </rPr>
      <t>5L A03-1.25)</t>
    </r>
  </si>
  <si>
    <r>
      <rPr>
        <sz val="12"/>
        <color theme="1"/>
        <rFont val="SimSun"/>
        <family val="3"/>
        <charset val="134"/>
      </rPr>
      <t>百特</t>
    </r>
  </si>
  <si>
    <t>B liquid</t>
  </si>
  <si>
    <r>
      <rPr>
        <sz val="12"/>
        <color rgb="FF000000"/>
        <rFont val="Times New Roman"/>
        <family val="1"/>
      </rPr>
      <t>AH01-II 35X</t>
    </r>
    <r>
      <rPr>
        <sz val="12"/>
        <color rgb="FF000000"/>
        <rFont val="宋体"/>
        <family val="3"/>
        <charset val="134"/>
      </rPr>
      <t>（</t>
    </r>
    <r>
      <rPr>
        <sz val="12"/>
        <color rgb="FF000000"/>
        <rFont val="Times New Roman"/>
        <family val="1"/>
      </rPr>
      <t>B</t>
    </r>
    <r>
      <rPr>
        <sz val="12"/>
        <color rgb="FF000000"/>
        <rFont val="宋体"/>
        <family val="3"/>
        <charset val="134"/>
      </rPr>
      <t>液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装量：</t>
    </r>
    <r>
      <rPr>
        <sz val="12"/>
        <color rgb="FF000000"/>
        <rFont val="Times New Roman"/>
        <family val="1"/>
      </rPr>
      <t>6.3L</t>
    </r>
    <r>
      <rPr>
        <sz val="12"/>
        <color rgb="FF000000"/>
        <rFont val="宋体"/>
        <family val="3"/>
        <charset val="134"/>
      </rPr>
      <t>）</t>
    </r>
  </si>
  <si>
    <r>
      <rPr>
        <sz val="12"/>
        <color theme="1"/>
        <rFont val="Times New Roman"/>
        <family val="1"/>
      </rPr>
      <t>AH01-II 35X</t>
    </r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B</t>
    </r>
    <r>
      <rPr>
        <sz val="12"/>
        <color theme="1"/>
        <rFont val="SimSun"/>
        <family val="3"/>
        <charset val="134"/>
      </rPr>
      <t>液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imSun"/>
        <family val="3"/>
        <charset val="134"/>
      </rPr>
      <t>装量：</t>
    </r>
    <r>
      <rPr>
        <sz val="12"/>
        <color theme="1"/>
        <rFont val="Times New Roman"/>
        <family val="1"/>
      </rPr>
      <t>6.3L</t>
    </r>
    <r>
      <rPr>
        <sz val="12"/>
        <color theme="1"/>
        <rFont val="SimSun"/>
        <family val="3"/>
        <charset val="134"/>
      </rPr>
      <t>）</t>
    </r>
  </si>
  <si>
    <t>Physiological sodium chloride solution for dialysis flushing</t>
  </si>
  <si>
    <r>
      <rPr>
        <sz val="12"/>
        <color theme="1"/>
        <rFont val="Times New Roman"/>
        <family val="1"/>
      </rPr>
      <t>B</t>
    </r>
    <r>
      <rPr>
        <sz val="12"/>
        <color theme="1"/>
        <rFont val="等线"/>
        <family val="4"/>
        <charset val="134"/>
      </rPr>
      <t>粉</t>
    </r>
  </si>
  <si>
    <r>
      <rPr>
        <sz val="12"/>
        <color theme="1"/>
        <rFont val="等线"/>
        <family val="4"/>
        <charset val="134"/>
      </rPr>
      <t>费森</t>
    </r>
    <r>
      <rPr>
        <sz val="12"/>
        <color theme="1"/>
        <rFont val="Times New Roman"/>
        <family val="1"/>
      </rPr>
      <t xml:space="preserve">43 </t>
    </r>
    <r>
      <rPr>
        <sz val="12"/>
        <color theme="1"/>
        <rFont val="等线"/>
        <family val="4"/>
        <charset val="134"/>
      </rPr>
      <t>普瑞森</t>
    </r>
    <r>
      <rPr>
        <sz val="12"/>
        <color theme="1"/>
        <rFont val="Times New Roman"/>
        <family val="1"/>
      </rPr>
      <t>35</t>
    </r>
  </si>
  <si>
    <t>Saline solution</t>
  </si>
  <si>
    <r>
      <rPr>
        <sz val="12"/>
        <color rgb="FF000000"/>
        <rFont val="宋体"/>
        <family val="3"/>
        <charset val="134"/>
      </rPr>
      <t>盐水</t>
    </r>
  </si>
  <si>
    <t>500ml</t>
  </si>
  <si>
    <r>
      <rPr>
        <sz val="12"/>
        <color rgb="FF000000"/>
        <rFont val="宋体"/>
        <family val="3"/>
        <charset val="134"/>
      </rPr>
      <t>百特</t>
    </r>
  </si>
  <si>
    <r>
      <rPr>
        <sz val="12"/>
        <color theme="1"/>
        <rFont val="SimSun"/>
        <family val="3"/>
        <charset val="134"/>
      </rPr>
      <t>盐水</t>
    </r>
  </si>
  <si>
    <t>Dialyzer</t>
  </si>
  <si>
    <t>1000ml</t>
  </si>
  <si>
    <t>Waste liquid bag</t>
  </si>
  <si>
    <t>Dialyzer(no distinction between single and double pumps)</t>
  </si>
  <si>
    <r>
      <rPr>
        <sz val="12"/>
        <color rgb="FF000000"/>
        <rFont val="宋体"/>
        <family val="3"/>
        <charset val="134"/>
      </rPr>
      <t>空心纤维透析器</t>
    </r>
  </si>
  <si>
    <t>F16</t>
  </si>
  <si>
    <r>
      <rPr>
        <sz val="12"/>
        <color rgb="FF000000"/>
        <rFont val="宋体"/>
        <family val="3"/>
        <charset val="134"/>
      </rPr>
      <t>威高</t>
    </r>
  </si>
  <si>
    <r>
      <rPr>
        <sz val="12"/>
        <color theme="1"/>
        <rFont val="SimSun"/>
        <family val="3"/>
        <charset val="134"/>
      </rPr>
      <t>空心纤维透析器</t>
    </r>
  </si>
  <si>
    <t>F15</t>
  </si>
  <si>
    <t>HF18</t>
  </si>
  <si>
    <t>HF15</t>
  </si>
  <si>
    <r>
      <rPr>
        <sz val="12"/>
        <color rgb="FF000000"/>
        <rFont val="宋体"/>
        <family val="3"/>
        <charset val="134"/>
      </rPr>
      <t>空心纤维血液透析滤过器</t>
    </r>
  </si>
  <si>
    <t>FX80</t>
  </si>
  <si>
    <t>Fx-8</t>
  </si>
  <si>
    <r>
      <rPr>
        <sz val="12"/>
        <color theme="1"/>
        <rFont val="SimSun"/>
        <family val="3"/>
        <charset val="134"/>
      </rPr>
      <t>费森</t>
    </r>
  </si>
  <si>
    <t>SUREFLUX-130G</t>
  </si>
  <si>
    <r>
      <rPr>
        <sz val="12"/>
        <color rgb="FF000000"/>
        <rFont val="宋体"/>
        <family val="3"/>
        <charset val="134"/>
      </rPr>
      <t>尼普洛</t>
    </r>
  </si>
  <si>
    <t>FB-15U</t>
  </si>
  <si>
    <r>
      <rPr>
        <sz val="12"/>
        <color theme="1"/>
        <rFont val="SimSun"/>
        <family val="3"/>
        <charset val="134"/>
      </rPr>
      <t>尼普洛</t>
    </r>
  </si>
  <si>
    <t>SUREFLUX-150G</t>
  </si>
  <si>
    <r>
      <rPr>
        <sz val="12"/>
        <color theme="1"/>
        <rFont val="SimSun"/>
        <family val="3"/>
        <charset val="134"/>
      </rPr>
      <t>空心纤维血液透析器</t>
    </r>
  </si>
  <si>
    <t>Pro-16</t>
  </si>
  <si>
    <t>Peracetic acid disinfectant</t>
  </si>
  <si>
    <r>
      <rPr>
        <sz val="12"/>
        <color rgb="FF000000"/>
        <rFont val="宋体"/>
        <family val="3"/>
        <charset val="134"/>
      </rPr>
      <t>空心纤维血液透析器</t>
    </r>
  </si>
  <si>
    <t>B-16H</t>
  </si>
  <si>
    <r>
      <rPr>
        <sz val="12"/>
        <color rgb="FF000000"/>
        <rFont val="宋体"/>
        <family val="3"/>
        <charset val="134"/>
      </rPr>
      <t>德朗</t>
    </r>
  </si>
  <si>
    <t>Sodium hypochlorite disinfectant</t>
  </si>
  <si>
    <r>
      <rPr>
        <sz val="12"/>
        <color rgb="FF000000"/>
        <rFont val="宋体"/>
        <family val="3"/>
        <charset val="134"/>
      </rPr>
      <t>瑞若灵</t>
    </r>
    <r>
      <rPr>
        <sz val="12"/>
        <color rgb="FF000000"/>
        <rFont val="Times New Roman"/>
        <family val="1"/>
      </rPr>
      <t>4.5</t>
    </r>
    <r>
      <rPr>
        <sz val="12"/>
        <color rgb="FF000000"/>
        <rFont val="宋体"/>
        <family val="3"/>
        <charset val="134"/>
      </rPr>
      <t>过氧乙酸消毒液</t>
    </r>
  </si>
  <si>
    <r>
      <rPr>
        <sz val="12"/>
        <color rgb="FF000000"/>
        <rFont val="宋体"/>
        <family val="3"/>
        <charset val="134"/>
      </rPr>
      <t>瑞诺灵</t>
    </r>
  </si>
  <si>
    <r>
      <rPr>
        <sz val="12"/>
        <color theme="1"/>
        <rFont val="SimSun"/>
        <family val="3"/>
        <charset val="134"/>
      </rPr>
      <t>瑞若灵</t>
    </r>
    <r>
      <rPr>
        <sz val="12"/>
        <color theme="1"/>
        <rFont val="Times New Roman"/>
        <family val="1"/>
      </rPr>
      <t>4.5</t>
    </r>
    <r>
      <rPr>
        <sz val="12"/>
        <color theme="1"/>
        <rFont val="SimSun"/>
        <family val="3"/>
        <charset val="134"/>
      </rPr>
      <t>过氧乙酸消毒液</t>
    </r>
  </si>
  <si>
    <t>5L</t>
  </si>
  <si>
    <r>
      <rPr>
        <sz val="12"/>
        <color theme="1"/>
        <rFont val="SimSun"/>
        <family val="3"/>
        <charset val="134"/>
      </rPr>
      <t>瑞诺灵</t>
    </r>
  </si>
  <si>
    <t>Citric acid disinfectant</t>
  </si>
  <si>
    <r>
      <rPr>
        <sz val="12"/>
        <color rgb="FF000000"/>
        <rFont val="宋体"/>
        <family val="3"/>
        <charset val="134"/>
      </rPr>
      <t>朗索</t>
    </r>
    <r>
      <rPr>
        <sz val="12"/>
        <color rgb="FF000000"/>
        <rFont val="Times New Roman"/>
        <family val="1"/>
      </rPr>
      <t>5%</t>
    </r>
    <r>
      <rPr>
        <sz val="12"/>
        <color rgb="FF000000"/>
        <rFont val="宋体"/>
        <family val="3"/>
        <charset val="134"/>
      </rPr>
      <t>次氯酸钠消毒液</t>
    </r>
  </si>
  <si>
    <r>
      <rPr>
        <sz val="12"/>
        <color rgb="FF000000"/>
        <rFont val="宋体"/>
        <family val="3"/>
        <charset val="134"/>
      </rPr>
      <t>液体</t>
    </r>
    <r>
      <rPr>
        <sz val="12"/>
        <color rgb="FF000000"/>
        <rFont val="Times New Roman"/>
        <family val="1"/>
      </rPr>
      <t xml:space="preserve"> 2.5kg</t>
    </r>
  </si>
  <si>
    <r>
      <rPr>
        <sz val="12"/>
        <color rgb="FF000000"/>
        <rFont val="宋体"/>
        <family val="3"/>
        <charset val="134"/>
      </rPr>
      <t>朗索</t>
    </r>
  </si>
  <si>
    <r>
      <rPr>
        <sz val="12"/>
        <color theme="1"/>
        <rFont val="SimSun"/>
        <family val="3"/>
        <charset val="134"/>
      </rPr>
      <t>朗索</t>
    </r>
    <r>
      <rPr>
        <sz val="12"/>
        <color theme="1"/>
        <rFont val="Times New Roman"/>
        <family val="1"/>
      </rPr>
      <t>5%</t>
    </r>
    <r>
      <rPr>
        <sz val="12"/>
        <color theme="1"/>
        <rFont val="SimSun"/>
        <family val="3"/>
        <charset val="134"/>
      </rPr>
      <t>次氯酸钠消毒液</t>
    </r>
  </si>
  <si>
    <r>
      <rPr>
        <sz val="12"/>
        <color theme="1"/>
        <rFont val="SimSun"/>
        <family val="3"/>
        <charset val="134"/>
      </rPr>
      <t>液体</t>
    </r>
    <r>
      <rPr>
        <sz val="12"/>
        <color theme="1"/>
        <rFont val="Times New Roman"/>
        <family val="1"/>
      </rPr>
      <t xml:space="preserve"> 2.5kg</t>
    </r>
  </si>
  <si>
    <r>
      <rPr>
        <sz val="12"/>
        <color theme="1"/>
        <rFont val="SimSun"/>
        <family val="3"/>
        <charset val="134"/>
      </rPr>
      <t>朗索</t>
    </r>
  </si>
  <si>
    <r>
      <rPr>
        <sz val="12"/>
        <color rgb="FF000000"/>
        <rFont val="宋体"/>
        <family val="3"/>
        <charset val="134"/>
      </rPr>
      <t>柠檬酸消毒液</t>
    </r>
  </si>
  <si>
    <t>6L</t>
  </si>
  <si>
    <r>
      <rPr>
        <sz val="12"/>
        <color rgb="FF000000"/>
        <rFont val="宋体"/>
        <family val="3"/>
        <charset val="134"/>
      </rPr>
      <t>贝朗</t>
    </r>
  </si>
  <si>
    <r>
      <rPr>
        <sz val="12"/>
        <color theme="1"/>
        <rFont val="SimSun"/>
        <family val="3"/>
        <charset val="134"/>
      </rPr>
      <t>柠檬酸消毒液</t>
    </r>
  </si>
  <si>
    <t>Dialysate filter-SPDDS</t>
  </si>
  <si>
    <r>
      <rPr>
        <sz val="12"/>
        <color rgb="FF000000"/>
        <rFont val="宋体"/>
        <family val="3"/>
        <charset val="134"/>
      </rPr>
      <t>日机装</t>
    </r>
  </si>
  <si>
    <r>
      <rPr>
        <sz val="12"/>
        <color theme="1"/>
        <rFont val="SimSun"/>
        <family val="3"/>
        <charset val="134"/>
      </rPr>
      <t>日机装</t>
    </r>
  </si>
  <si>
    <t>Dialysate filter</t>
  </si>
  <si>
    <r>
      <rPr>
        <sz val="12"/>
        <color rgb="FF000000"/>
        <rFont val="宋体"/>
        <family val="3"/>
        <charset val="134"/>
      </rPr>
      <t>透析液过滤器</t>
    </r>
    <r>
      <rPr>
        <sz val="12"/>
        <color rgb="FF000000"/>
        <rFont val="Times New Roman"/>
        <family val="1"/>
      </rPr>
      <t>-SPDDS</t>
    </r>
  </si>
  <si>
    <t>Ultra</t>
  </si>
  <si>
    <r>
      <rPr>
        <sz val="12"/>
        <color theme="1"/>
        <rFont val="SimSun"/>
        <family val="3"/>
        <charset val="134"/>
      </rPr>
      <t>透析液过滤器</t>
    </r>
    <r>
      <rPr>
        <sz val="12"/>
        <color theme="1"/>
        <rFont val="Times New Roman"/>
        <family val="1"/>
      </rPr>
      <t>-SPDDS</t>
    </r>
  </si>
  <si>
    <r>
      <rPr>
        <sz val="16"/>
        <color theme="1"/>
        <rFont val="Times New Roman"/>
        <family val="1"/>
      </rPr>
      <t xml:space="preserve">Dialysate filter-CDDS </t>
    </r>
    <r>
      <rPr>
        <sz val="16"/>
        <color theme="1"/>
        <rFont val="微软雅黑"/>
        <family val="2"/>
        <charset val="134"/>
      </rPr>
      <t>（</t>
    </r>
    <r>
      <rPr>
        <sz val="16"/>
        <color theme="1"/>
        <rFont val="Times New Roman"/>
        <family val="1"/>
      </rPr>
      <t>small</t>
    </r>
    <r>
      <rPr>
        <sz val="16"/>
        <color theme="1"/>
        <rFont val="微软雅黑"/>
        <family val="2"/>
        <charset val="134"/>
      </rPr>
      <t>）</t>
    </r>
  </si>
  <si>
    <t>EF-02</t>
  </si>
  <si>
    <r>
      <rPr>
        <sz val="16"/>
        <color theme="1"/>
        <rFont val="Times New Roman"/>
        <family val="1"/>
      </rPr>
      <t xml:space="preserve">Dialysate filter-CDDS </t>
    </r>
    <r>
      <rPr>
        <sz val="16"/>
        <color theme="1"/>
        <rFont val="微软雅黑"/>
        <family val="2"/>
        <charset val="134"/>
      </rPr>
      <t>（</t>
    </r>
    <r>
      <rPr>
        <sz val="16"/>
        <color theme="1"/>
        <rFont val="Times New Roman"/>
        <family val="1"/>
      </rPr>
      <t>big</t>
    </r>
    <r>
      <rPr>
        <sz val="16"/>
        <color theme="1"/>
        <rFont val="微软雅黑"/>
        <family val="2"/>
        <charset val="134"/>
      </rPr>
      <t>）</t>
    </r>
  </si>
  <si>
    <t>DF-210</t>
  </si>
  <si>
    <r>
      <rPr>
        <sz val="12"/>
        <color theme="1"/>
        <rFont val="SimSun"/>
        <family val="3"/>
        <charset val="134"/>
      </rPr>
      <t>宝莱特</t>
    </r>
  </si>
  <si>
    <t>Diasafe plus</t>
  </si>
  <si>
    <t>Dialysate filter-CDDS(JP-80)</t>
  </si>
  <si>
    <r>
      <rPr>
        <sz val="12"/>
        <color rgb="FF000000"/>
        <rFont val="宋体"/>
        <family val="3"/>
        <charset val="134"/>
      </rPr>
      <t>透析液过滤器</t>
    </r>
    <r>
      <rPr>
        <sz val="12"/>
        <color rgb="FF000000"/>
        <rFont val="Times New Roman"/>
        <family val="1"/>
      </rPr>
      <t>-CDDS</t>
    </r>
  </si>
  <si>
    <t>JP-80</t>
  </si>
  <si>
    <r>
      <rPr>
        <sz val="12"/>
        <color theme="1"/>
        <rFont val="SimSun"/>
        <family val="3"/>
        <charset val="134"/>
      </rPr>
      <t>透析液过滤器</t>
    </r>
    <r>
      <rPr>
        <sz val="12"/>
        <color theme="1"/>
        <rFont val="Times New Roman"/>
        <family val="1"/>
      </rPr>
      <t>-CDDS</t>
    </r>
  </si>
  <si>
    <t>Dialysate filter-CDDS(C40A)</t>
  </si>
  <si>
    <r>
      <rPr>
        <sz val="12"/>
        <color rgb="FF000000"/>
        <rFont val="宋体"/>
        <family val="3"/>
        <charset val="134"/>
      </rPr>
      <t>透析液过滤器</t>
    </r>
    <r>
      <rPr>
        <sz val="12"/>
        <color rgb="FF000000"/>
        <rFont val="Times New Roman"/>
        <family val="1"/>
      </rPr>
      <t xml:space="preserve">-CDDS </t>
    </r>
  </si>
  <si>
    <t>C40A</t>
  </si>
  <si>
    <r>
      <rPr>
        <sz val="12"/>
        <color theme="1"/>
        <rFont val="SimSun"/>
        <family val="3"/>
        <charset val="134"/>
      </rPr>
      <t>透析液过滤器</t>
    </r>
    <r>
      <rPr>
        <sz val="12"/>
        <color theme="1"/>
        <rFont val="Times New Roman"/>
        <family val="1"/>
      </rPr>
      <t>-CDDS </t>
    </r>
  </si>
  <si>
    <r>
      <rPr>
        <sz val="12"/>
        <color rgb="FF000000"/>
        <rFont val="等线"/>
        <family val="4"/>
        <charset val="134"/>
      </rPr>
      <t>透析液过滤器</t>
    </r>
    <r>
      <rPr>
        <sz val="12"/>
        <color rgb="FF000000"/>
        <rFont val="Times New Roman"/>
        <family val="1"/>
      </rPr>
      <t xml:space="preserve">-CDDS </t>
    </r>
  </si>
  <si>
    <r>
      <rPr>
        <b/>
        <sz val="12"/>
        <color theme="1"/>
        <rFont val="等线"/>
        <family val="4"/>
        <charset val="134"/>
      </rPr>
      <t>备注：嘉中心</t>
    </r>
  </si>
  <si>
    <r>
      <rPr>
        <b/>
        <sz val="12"/>
        <color theme="1"/>
        <rFont val="等线"/>
        <family val="4"/>
        <charset val="134"/>
      </rPr>
      <t>备注：仁济宝山</t>
    </r>
  </si>
  <si>
    <t>other consumable</t>
  </si>
  <si>
    <r>
      <rPr>
        <sz val="12"/>
        <color rgb="FF000000"/>
        <rFont val="宋体"/>
        <family val="3"/>
        <charset val="134"/>
      </rPr>
      <t>一次性使用血液灌流器</t>
    </r>
  </si>
  <si>
    <t>HA130</t>
  </si>
  <si>
    <r>
      <rPr>
        <sz val="12"/>
        <color rgb="FF000000"/>
        <rFont val="宋体"/>
        <family val="3"/>
        <charset val="134"/>
      </rPr>
      <t>健帆</t>
    </r>
  </si>
  <si>
    <r>
      <rPr>
        <b/>
        <sz val="12"/>
        <color theme="1"/>
        <rFont val="等线"/>
        <family val="4"/>
        <charset val="134"/>
      </rPr>
      <t>单机</t>
    </r>
    <r>
      <rPr>
        <b/>
        <sz val="12"/>
        <color theme="1"/>
        <rFont val="Times New Roman"/>
        <family val="1"/>
      </rPr>
      <t>:</t>
    </r>
    <r>
      <rPr>
        <b/>
        <sz val="12"/>
        <color theme="1"/>
        <rFont val="等线"/>
        <family val="4"/>
        <charset val="134"/>
      </rPr>
      <t>管路</t>
    </r>
    <r>
      <rPr>
        <b/>
        <sz val="12"/>
        <color theme="1"/>
        <rFont val="Times New Roman"/>
        <family val="1"/>
      </rPr>
      <t>20</t>
    </r>
    <r>
      <rPr>
        <b/>
        <sz val="12"/>
        <color theme="1"/>
        <rFont val="等线"/>
        <family val="4"/>
        <charset val="134"/>
      </rPr>
      <t>－</t>
    </r>
    <r>
      <rPr>
        <b/>
        <sz val="12"/>
        <color theme="1"/>
        <rFont val="Times New Roman"/>
        <family val="1"/>
      </rPr>
      <t>25+</t>
    </r>
    <r>
      <rPr>
        <b/>
        <sz val="12"/>
        <color theme="1"/>
        <rFont val="等线"/>
        <family val="4"/>
        <charset val="134"/>
      </rPr>
      <t>透析器</t>
    </r>
    <r>
      <rPr>
        <b/>
        <sz val="12"/>
        <color theme="1"/>
        <rFont val="Times New Roman"/>
        <family val="1"/>
      </rPr>
      <t>86</t>
    </r>
    <r>
      <rPr>
        <b/>
        <sz val="12"/>
        <color theme="1"/>
        <rFont val="等线"/>
        <family val="4"/>
        <charset val="134"/>
      </rPr>
      <t>或</t>
    </r>
    <r>
      <rPr>
        <b/>
        <sz val="12"/>
        <color theme="1"/>
        <rFont val="Times New Roman"/>
        <family val="1"/>
      </rPr>
      <t>92</t>
    </r>
    <r>
      <rPr>
        <b/>
        <sz val="12"/>
        <color theme="1"/>
        <rFont val="等线"/>
        <family val="4"/>
        <charset val="134"/>
      </rPr>
      <t>；</t>
    </r>
  </si>
  <si>
    <r>
      <rPr>
        <b/>
        <sz val="12"/>
        <color theme="1"/>
        <rFont val="Times New Roman"/>
        <family val="1"/>
      </rPr>
      <t>SPDDS</t>
    </r>
    <r>
      <rPr>
        <b/>
        <sz val="12"/>
        <color theme="1"/>
        <rFont val="等线"/>
        <family val="4"/>
        <charset val="134"/>
      </rPr>
      <t>仅做</t>
    </r>
    <r>
      <rPr>
        <b/>
        <sz val="12"/>
        <color theme="1"/>
        <rFont val="Times New Roman"/>
        <family val="1"/>
      </rPr>
      <t>HDF</t>
    </r>
    <r>
      <rPr>
        <b/>
        <sz val="12"/>
        <color theme="1"/>
        <rFont val="等线"/>
        <family val="4"/>
        <charset val="134"/>
      </rPr>
      <t>，耗材单价为</t>
    </r>
    <r>
      <rPr>
        <b/>
        <sz val="12"/>
        <color theme="1"/>
        <rFont val="Times New Roman"/>
        <family val="1"/>
      </rPr>
      <t>HDF</t>
    </r>
    <r>
      <rPr>
        <b/>
        <sz val="12"/>
        <color theme="1"/>
        <rFont val="等线"/>
        <family val="4"/>
        <charset val="134"/>
      </rPr>
      <t>耗材</t>
    </r>
  </si>
  <si>
    <r>
      <rPr>
        <sz val="12"/>
        <color rgb="FF000000"/>
        <rFont val="宋体"/>
        <family val="3"/>
        <charset val="134"/>
      </rPr>
      <t>一次性使用血液净化滤器</t>
    </r>
  </si>
  <si>
    <r>
      <rPr>
        <b/>
        <sz val="12"/>
        <color theme="1"/>
        <rFont val="Times New Roman"/>
        <family val="1"/>
      </rPr>
      <t>JMS:</t>
    </r>
    <r>
      <rPr>
        <b/>
        <sz val="12"/>
        <color theme="1"/>
        <rFont val="等线"/>
        <family val="4"/>
        <charset val="134"/>
      </rPr>
      <t>管路</t>
    </r>
    <r>
      <rPr>
        <b/>
        <sz val="12"/>
        <color theme="1"/>
        <rFont val="Times New Roman"/>
        <family val="1"/>
      </rPr>
      <t>26+</t>
    </r>
    <r>
      <rPr>
        <b/>
        <sz val="12"/>
        <color theme="1"/>
        <rFont val="等线"/>
        <family val="4"/>
        <charset val="134"/>
      </rPr>
      <t>管路</t>
    </r>
    <r>
      <rPr>
        <b/>
        <sz val="12"/>
        <color theme="1"/>
        <rFont val="Times New Roman"/>
        <family val="1"/>
      </rPr>
      <t>92</t>
    </r>
    <r>
      <rPr>
        <b/>
        <sz val="12"/>
        <color theme="1"/>
        <rFont val="等线"/>
        <family val="4"/>
        <charset val="134"/>
      </rPr>
      <t>或</t>
    </r>
    <r>
      <rPr>
        <b/>
        <sz val="12"/>
        <color theme="1"/>
        <rFont val="Times New Roman"/>
        <family val="1"/>
      </rPr>
      <t>95</t>
    </r>
  </si>
  <si>
    <t>FX80  (CN0218)</t>
  </si>
  <si>
    <r>
      <rPr>
        <sz val="12"/>
        <color rgb="FF000000"/>
        <rFont val="宋体"/>
        <family val="3"/>
        <charset val="134"/>
      </rPr>
      <t>一次性钝型动静脉瘘穿刺针</t>
    </r>
  </si>
  <si>
    <t>16G×1</t>
  </si>
  <si>
    <r>
      <rPr>
        <sz val="12"/>
        <color rgb="FF000000"/>
        <rFont val="宋体"/>
        <family val="3"/>
        <charset val="134"/>
      </rPr>
      <t>一次性使用动静脉瘘穿刺针</t>
    </r>
  </si>
  <si>
    <t>70232660</t>
  </si>
  <si>
    <r>
      <rPr>
        <sz val="12"/>
        <color rgb="FF000000"/>
        <rFont val="宋体"/>
        <family val="3"/>
        <charset val="134"/>
      </rPr>
      <t>一次性使用留置针</t>
    </r>
  </si>
  <si>
    <t>SP502-17(33)</t>
  </si>
  <si>
    <r>
      <rPr>
        <sz val="12"/>
        <color rgb="FF000000"/>
        <rFont val="宋体"/>
        <family val="3"/>
        <charset val="134"/>
      </rPr>
      <t>美德</t>
    </r>
  </si>
  <si>
    <t>SP502-18(33)</t>
  </si>
  <si>
    <t>Remarks: Dialyzers and treatment modality related</t>
  </si>
  <si>
    <t>Cost Input Questionnaire for CDDS</t>
  </si>
  <si>
    <t>Hospital 1</t>
  </si>
  <si>
    <t>Hospital 2</t>
  </si>
  <si>
    <t>Hospital 3</t>
  </si>
  <si>
    <t>1. Staffing of the Department</t>
  </si>
  <si>
    <t>Number of doctors</t>
  </si>
  <si>
    <t>person</t>
  </si>
  <si>
    <t>Number of nurses</t>
  </si>
  <si>
    <t>Number of engineers</t>
  </si>
  <si>
    <t>Number of laborers</t>
  </si>
  <si>
    <t>2. Configuration of beds in the department</t>
  </si>
  <si>
    <t>Number of beds</t>
  </si>
  <si>
    <t>beds</t>
  </si>
  <si>
    <t>Number of CDDS beds</t>
  </si>
  <si>
    <t>Number of beds in single machine</t>
  </si>
  <si>
    <t>3. Equipment Configuration</t>
  </si>
  <si>
    <t>Number of CDDS dialysis units</t>
  </si>
  <si>
    <t>units</t>
  </si>
  <si>
    <t>Number of SPDDS machines</t>
  </si>
  <si>
    <t>4. Volume of services provided by the department</t>
  </si>
  <si>
    <t>Number of working weeks per year</t>
  </si>
  <si>
    <t>weeks</t>
  </si>
  <si>
    <t>Number of working days per week</t>
  </si>
  <si>
    <t>days</t>
  </si>
  <si>
    <t>Number of shifts per day</t>
  </si>
  <si>
    <t>shifts</t>
  </si>
  <si>
    <t>Number of hours per shift</t>
  </si>
  <si>
    <t>hours</t>
  </si>
  <si>
    <t>Number of CDDS dialysis patients per shift</t>
  </si>
  <si>
    <t>Number of patients on single machine dialysis per shift</t>
  </si>
  <si>
    <t>CDDS average</t>
  </si>
  <si>
    <t>SPDDS average</t>
  </si>
  <si>
    <t>Training Cost</t>
    <phoneticPr fontId="50" type="noConversion"/>
  </si>
  <si>
    <t>Misoperation Cost</t>
    <phoneticPr fontId="50" type="noConversion"/>
  </si>
  <si>
    <t>Figure 1</t>
    <phoneticPr fontId="50" type="noConversion"/>
  </si>
  <si>
    <t>Figure 2</t>
    <phoneticPr fontId="50" type="noConversion"/>
  </si>
  <si>
    <t>Figure 3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</si>
</sst>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76" formatCode="\¥#,##0.00_);[Red]\(\¥#,##0.00\)"/>
    <numFmt numFmtId="177" formatCode="0.000"/>
    <numFmt numFmtId="178" formatCode="0.0000"/>
    <numFmt numFmtId="179" formatCode="0_ "/>
    <numFmt numFmtId="180" formatCode="_(* #,##0_);_(* \(#,##0\);_(* &quot;-&quot;??_);_(@_)"/>
    <numFmt numFmtId="181" formatCode="\¥#,##0_);[Red]\(\¥#,##0\)"/>
    <numFmt numFmtId="182" formatCode="\¥#,##0.00"/>
    <numFmt numFmtId="183" formatCode="#,##0.00_ ;[Red]\-#,##0.00\ "/>
    <numFmt numFmtId="184" formatCode="#,##0.00_ "/>
    <numFmt numFmtId="185" formatCode="0.00_ "/>
    <numFmt numFmtId="186" formatCode="0_);[Red]\(0\)"/>
    <numFmt numFmtId="187" formatCode="\¥#,##0.00;\¥\-#,##0.00"/>
  </numFmts>
  <fonts count="54">
    <font>
      <sz val="12"/>
      <color theme="1"/>
      <name val="等线"/>
      <charset val="134"/>
      <scheme val="minor"/>
    </font>
    <font>
      <sz val="12"/>
      <color theme="1"/>
      <name val="Times New Roman"/>
      <family val="1"/>
    </font>
    <font>
      <b/>
      <sz val="16"/>
      <color rgb="FFFFFFFF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等线"/>
      <family val="4"/>
      <charset val="134"/>
      <scheme val="minor"/>
    </font>
    <font>
      <sz val="16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theme="1"/>
      <name val="等线"/>
      <family val="4"/>
      <charset val="134"/>
      <scheme val="minor"/>
    </font>
    <font>
      <b/>
      <sz val="14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FF0000"/>
      <name val="等线"/>
      <family val="4"/>
      <charset val="134"/>
      <scheme val="minor"/>
    </font>
    <font>
      <sz val="12"/>
      <name val="Arial"/>
      <family val="2"/>
    </font>
    <font>
      <b/>
      <sz val="12"/>
      <color rgb="FF000000"/>
      <name val="微软雅黑"/>
      <family val="2"/>
      <charset val="134"/>
    </font>
    <font>
      <sz val="12"/>
      <name val="等线"/>
      <family val="4"/>
      <charset val="134"/>
      <scheme val="minor"/>
    </font>
    <font>
      <sz val="12"/>
      <color rgb="FF000000"/>
      <name val="微软雅黑"/>
      <family val="2"/>
      <charset val="134"/>
    </font>
    <font>
      <sz val="12"/>
      <color rgb="FF000000"/>
      <name val="等线"/>
      <family val="4"/>
      <charset val="134"/>
      <scheme val="minor"/>
    </font>
    <font>
      <b/>
      <sz val="12"/>
      <color theme="1"/>
      <name val="等线"/>
      <family val="4"/>
      <charset val="134"/>
      <scheme val="minor"/>
    </font>
    <font>
      <b/>
      <sz val="13"/>
      <color rgb="FF000000"/>
      <name val="Microsoft YaHei"/>
      <family val="2"/>
      <charset val="134"/>
    </font>
    <font>
      <b/>
      <sz val="18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SimSun"/>
      <family val="3"/>
      <charset val="134"/>
    </font>
    <font>
      <sz val="12"/>
      <color theme="1"/>
      <name val="等线"/>
      <family val="4"/>
      <charset val="134"/>
    </font>
    <font>
      <sz val="12"/>
      <color rgb="FF000000"/>
      <name val="等线"/>
      <family val="4"/>
      <charset val="134"/>
    </font>
    <font>
      <b/>
      <sz val="12"/>
      <color theme="1"/>
      <name val="等线"/>
      <family val="4"/>
      <charset val="134"/>
    </font>
    <font>
      <sz val="10"/>
      <color rgb="FF000000"/>
      <name val="Microsoft YaHei UI"/>
      <family val="2"/>
      <charset val="134"/>
    </font>
    <font>
      <b/>
      <sz val="10"/>
      <color rgb="FF000000"/>
      <name val="Microsoft YaHei UI"/>
      <family val="2"/>
      <charset val="134"/>
    </font>
    <font>
      <sz val="12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rgb="FF000000"/>
      <name val="等线"/>
      <family val="4"/>
      <charset val="134"/>
      <scheme val="minor"/>
    </font>
    <font>
      <b/>
      <sz val="12"/>
      <name val="等线"/>
      <family val="4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ED7D31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" fontId="1" fillId="5" borderId="0" xfId="0" applyNumberFormat="1" applyFont="1" applyFill="1">
      <alignment vertical="center"/>
    </xf>
    <xf numFmtId="0" fontId="3" fillId="6" borderId="2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1" fontId="1" fillId="0" borderId="0" xfId="0" applyNumberFormat="1" applyFont="1">
      <alignment vertical="center"/>
    </xf>
    <xf numFmtId="176" fontId="7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176" fontId="10" fillId="0" borderId="8" xfId="0" applyNumberFormat="1" applyFont="1" applyBorder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6" fontId="7" fillId="0" borderId="8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indent="3"/>
    </xf>
    <xf numFmtId="0" fontId="12" fillId="0" borderId="0" xfId="0" applyFo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176" fontId="1" fillId="0" borderId="8" xfId="0" applyNumberFormat="1" applyFont="1" applyBorder="1" applyAlignment="1">
      <alignment horizontal="left" vertical="center"/>
    </xf>
    <xf numFmtId="0" fontId="14" fillId="0" borderId="8" xfId="0" applyFont="1" applyBorder="1">
      <alignment vertical="center"/>
    </xf>
    <xf numFmtId="176" fontId="1" fillId="0" borderId="8" xfId="0" applyNumberFormat="1" applyFont="1" applyBorder="1">
      <alignment vertical="center"/>
    </xf>
    <xf numFmtId="0" fontId="1" fillId="0" borderId="8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8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18" xfId="0" applyFont="1" applyBorder="1">
      <alignment vertical="center"/>
    </xf>
    <xf numFmtId="0" fontId="7" fillId="0" borderId="8" xfId="0" applyFont="1" applyBorder="1" applyAlignment="1">
      <alignment horizontal="left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9" fillId="5" borderId="8" xfId="0" applyFont="1" applyFill="1" applyBorder="1" applyAlignment="1">
      <alignment vertical="center" wrapText="1"/>
    </xf>
    <xf numFmtId="0" fontId="19" fillId="7" borderId="8" xfId="0" applyFont="1" applyFill="1" applyBorder="1" applyAlignment="1">
      <alignment vertical="center" wrapText="1"/>
    </xf>
    <xf numFmtId="0" fontId="19" fillId="8" borderId="8" xfId="0" applyFont="1" applyFill="1" applyBorder="1" applyAlignment="1">
      <alignment vertical="center" wrapText="1"/>
    </xf>
    <xf numFmtId="0" fontId="20" fillId="8" borderId="8" xfId="0" applyFont="1" applyFill="1" applyBorder="1" applyAlignment="1">
      <alignment vertical="center" wrapText="1"/>
    </xf>
    <xf numFmtId="2" fontId="19" fillId="5" borderId="8" xfId="0" applyNumberFormat="1" applyFont="1" applyFill="1" applyBorder="1" applyAlignment="1">
      <alignment vertical="center" wrapText="1"/>
    </xf>
    <xf numFmtId="2" fontId="19" fillId="5" borderId="20" xfId="0" applyNumberFormat="1" applyFont="1" applyFill="1" applyBorder="1" applyAlignment="1">
      <alignment vertical="center" wrapText="1"/>
    </xf>
    <xf numFmtId="2" fontId="19" fillId="5" borderId="21" xfId="0" applyNumberFormat="1" applyFont="1" applyFill="1" applyBorder="1" applyAlignment="1">
      <alignment vertical="center" wrapText="1"/>
    </xf>
    <xf numFmtId="2" fontId="19" fillId="5" borderId="22" xfId="0" applyNumberFormat="1" applyFont="1" applyFill="1" applyBorder="1" applyAlignment="1">
      <alignment vertical="center" wrapText="1"/>
    </xf>
    <xf numFmtId="2" fontId="19" fillId="7" borderId="8" xfId="0" applyNumberFormat="1" applyFont="1" applyFill="1" applyBorder="1" applyAlignment="1">
      <alignment vertical="center" wrapText="1"/>
    </xf>
    <xf numFmtId="2" fontId="19" fillId="7" borderId="20" xfId="0" applyNumberFormat="1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9" fillId="7" borderId="22" xfId="0" applyFont="1" applyFill="1" applyBorder="1" applyAlignment="1">
      <alignment vertical="center" wrapText="1"/>
    </xf>
    <xf numFmtId="0" fontId="19" fillId="9" borderId="8" xfId="0" applyFont="1" applyFill="1" applyBorder="1" applyAlignment="1">
      <alignment vertical="center" wrapText="1"/>
    </xf>
    <xf numFmtId="2" fontId="19" fillId="9" borderId="8" xfId="0" applyNumberFormat="1" applyFont="1" applyFill="1" applyBorder="1" applyAlignment="1">
      <alignment vertical="center" wrapText="1"/>
    </xf>
    <xf numFmtId="2" fontId="19" fillId="8" borderId="8" xfId="0" applyNumberFormat="1" applyFont="1" applyFill="1" applyBorder="1" applyAlignment="1">
      <alignment vertical="center" wrapText="1"/>
    </xf>
    <xf numFmtId="0" fontId="0" fillId="5" borderId="23" xfId="0" applyFill="1" applyBorder="1" applyAlignment="1">
      <alignment vertical="center" wrapText="1"/>
    </xf>
    <xf numFmtId="0" fontId="0" fillId="7" borderId="23" xfId="0" applyFill="1" applyBorder="1" applyAlignment="1">
      <alignment vertical="center" wrapText="1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19" fillId="7" borderId="8" xfId="0" applyFont="1" applyFill="1" applyBorder="1" applyAlignment="1">
      <alignment horizontal="right" vertical="center"/>
    </xf>
    <xf numFmtId="0" fontId="19" fillId="5" borderId="0" xfId="0" applyFont="1" applyFill="1" applyAlignment="1">
      <alignment horizontal="center" vertical="center"/>
    </xf>
    <xf numFmtId="177" fontId="19" fillId="12" borderId="8" xfId="0" applyNumberFormat="1" applyFont="1" applyFill="1" applyBorder="1" applyAlignment="1">
      <alignment horizontal="right" vertical="center"/>
    </xf>
    <xf numFmtId="178" fontId="19" fillId="12" borderId="8" xfId="0" applyNumberFormat="1" applyFont="1" applyFill="1" applyBorder="1" applyAlignment="1">
      <alignment horizontal="right" vertical="center"/>
    </xf>
    <xf numFmtId="0" fontId="19" fillId="5" borderId="0" xfId="0" applyFont="1" applyFill="1" applyAlignment="1">
      <alignment horizontal="right" vertical="center"/>
    </xf>
    <xf numFmtId="0" fontId="19" fillId="12" borderId="8" xfId="0" applyFont="1" applyFill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176" fontId="19" fillId="12" borderId="8" xfId="1" applyNumberFormat="1" applyFont="1" applyFill="1" applyBorder="1" applyAlignment="1">
      <alignment horizontal="right" vertical="center"/>
    </xf>
    <xf numFmtId="0" fontId="19" fillId="13" borderId="0" xfId="0" applyFont="1" applyFill="1" applyAlignment="1">
      <alignment horizontal="left" vertical="center"/>
    </xf>
    <xf numFmtId="0" fontId="19" fillId="13" borderId="0" xfId="0" applyFont="1" applyFill="1" applyAlignment="1">
      <alignment horizontal="right" vertical="center"/>
    </xf>
    <xf numFmtId="0" fontId="21" fillId="13" borderId="0" xfId="0" applyFont="1" applyFill="1">
      <alignment vertical="center"/>
    </xf>
    <xf numFmtId="0" fontId="19" fillId="13" borderId="0" xfId="0" applyFont="1" applyFill="1" applyAlignment="1">
      <alignment horizontal="center" vertical="center"/>
    </xf>
    <xf numFmtId="2" fontId="19" fillId="12" borderId="8" xfId="0" applyNumberFormat="1" applyFont="1" applyFill="1" applyBorder="1" applyAlignment="1">
      <alignment horizontal="right" vertical="center"/>
    </xf>
    <xf numFmtId="43" fontId="19" fillId="5" borderId="0" xfId="1" applyFont="1" applyFill="1" applyBorder="1" applyAlignment="1">
      <alignment horizontal="right" vertical="center"/>
    </xf>
    <xf numFmtId="2" fontId="19" fillId="13" borderId="0" xfId="0" applyNumberFormat="1" applyFont="1" applyFill="1" applyAlignment="1">
      <alignment horizontal="right" vertical="center"/>
    </xf>
    <xf numFmtId="0" fontId="21" fillId="13" borderId="0" xfId="0" applyFont="1" applyFill="1" applyAlignment="1">
      <alignment horizontal="left" vertical="center"/>
    </xf>
    <xf numFmtId="176" fontId="19" fillId="12" borderId="8" xfId="1" applyNumberFormat="1" applyFont="1" applyFill="1" applyBorder="1" applyAlignment="1">
      <alignment vertical="center"/>
    </xf>
    <xf numFmtId="43" fontId="21" fillId="5" borderId="0" xfId="1" applyFont="1" applyFill="1" applyBorder="1" applyAlignment="1">
      <alignment horizontal="right" vertical="center"/>
    </xf>
    <xf numFmtId="176" fontId="19" fillId="12" borderId="8" xfId="1" applyNumberFormat="1" applyFont="1" applyFill="1" applyBorder="1" applyAlignment="1">
      <alignment horizontal="right"/>
    </xf>
    <xf numFmtId="43" fontId="19" fillId="13" borderId="0" xfId="1" applyFont="1" applyFill="1" applyBorder="1" applyAlignment="1">
      <alignment horizontal="right" vertical="center"/>
    </xf>
    <xf numFmtId="176" fontId="21" fillId="12" borderId="8" xfId="1" applyNumberFormat="1" applyFont="1" applyFill="1" applyBorder="1" applyAlignment="1">
      <alignment vertical="center"/>
    </xf>
    <xf numFmtId="0" fontId="24" fillId="0" borderId="0" xfId="0" applyFont="1">
      <alignment vertical="center"/>
    </xf>
    <xf numFmtId="176" fontId="0" fillId="0" borderId="0" xfId="0" applyNumberFormat="1">
      <alignment vertical="center"/>
    </xf>
    <xf numFmtId="0" fontId="18" fillId="5" borderId="0" xfId="0" applyFont="1" applyFill="1" applyAlignment="1">
      <alignment horizontal="center" vertical="center"/>
    </xf>
    <xf numFmtId="0" fontId="19" fillId="5" borderId="0" xfId="0" applyFont="1" applyFill="1">
      <alignment vertical="center"/>
    </xf>
    <xf numFmtId="0" fontId="19" fillId="7" borderId="8" xfId="0" applyFont="1" applyFill="1" applyBorder="1">
      <alignment vertical="center"/>
    </xf>
    <xf numFmtId="0" fontId="19" fillId="12" borderId="8" xfId="0" applyFont="1" applyFill="1" applyBorder="1">
      <alignment vertical="center"/>
    </xf>
    <xf numFmtId="2" fontId="19" fillId="12" borderId="8" xfId="0" applyNumberFormat="1" applyFont="1" applyFill="1" applyBorder="1">
      <alignment vertical="center"/>
    </xf>
    <xf numFmtId="177" fontId="19" fillId="12" borderId="8" xfId="0" applyNumberFormat="1" applyFont="1" applyFill="1" applyBorder="1">
      <alignment vertical="center"/>
    </xf>
    <xf numFmtId="0" fontId="18" fillId="13" borderId="0" xfId="0" applyFont="1" applyFill="1" applyAlignment="1">
      <alignment horizontal="center" vertical="center"/>
    </xf>
    <xf numFmtId="176" fontId="19" fillId="12" borderId="8" xfId="0" applyNumberFormat="1" applyFont="1" applyFill="1" applyBorder="1">
      <alignment vertical="center"/>
    </xf>
    <xf numFmtId="0" fontId="19" fillId="13" borderId="0" xfId="0" applyFont="1" applyFill="1">
      <alignment vertical="center"/>
    </xf>
    <xf numFmtId="176" fontId="19" fillId="5" borderId="0" xfId="0" applyNumberFormat="1" applyFont="1" applyFill="1">
      <alignment vertical="center"/>
    </xf>
    <xf numFmtId="176" fontId="19" fillId="5" borderId="8" xfId="0" applyNumberFormat="1" applyFont="1" applyFill="1" applyBorder="1">
      <alignment vertical="center"/>
    </xf>
    <xf numFmtId="176" fontId="19" fillId="13" borderId="0" xfId="0" applyNumberFormat="1" applyFont="1" applyFill="1">
      <alignment vertical="center"/>
    </xf>
    <xf numFmtId="176" fontId="19" fillId="13" borderId="8" xfId="0" applyNumberFormat="1" applyFont="1" applyFill="1" applyBorder="1">
      <alignment vertical="center"/>
    </xf>
    <xf numFmtId="176" fontId="26" fillId="7" borderId="8" xfId="1" applyNumberFormat="1" applyFont="1" applyFill="1" applyBorder="1" applyAlignment="1">
      <alignment horizontal="left" vertical="center"/>
    </xf>
    <xf numFmtId="2" fontId="0" fillId="0" borderId="0" xfId="0" applyNumberFormat="1">
      <alignment vertical="center"/>
    </xf>
    <xf numFmtId="179" fontId="26" fillId="7" borderId="8" xfId="0" applyNumberFormat="1" applyFont="1" applyFill="1" applyBorder="1">
      <alignment vertical="center"/>
    </xf>
    <xf numFmtId="178" fontId="19" fillId="12" borderId="8" xfId="0" applyNumberFormat="1" applyFont="1" applyFill="1" applyBorder="1">
      <alignment vertical="center"/>
    </xf>
    <xf numFmtId="0" fontId="21" fillId="5" borderId="0" xfId="0" applyFont="1" applyFill="1">
      <alignment vertical="center"/>
    </xf>
    <xf numFmtId="176" fontId="19" fillId="12" borderId="8" xfId="1" applyNumberFormat="1" applyFont="1" applyFill="1" applyBorder="1">
      <alignment vertical="center"/>
    </xf>
    <xf numFmtId="176" fontId="21" fillId="5" borderId="0" xfId="0" applyNumberFormat="1" applyFont="1" applyFill="1">
      <alignment vertical="center"/>
    </xf>
    <xf numFmtId="176" fontId="19" fillId="0" borderId="0" xfId="0" applyNumberFormat="1" applyFont="1">
      <alignment vertical="center"/>
    </xf>
    <xf numFmtId="176" fontId="21" fillId="12" borderId="8" xfId="1" applyNumberFormat="1" applyFont="1" applyFill="1" applyBorder="1">
      <alignment vertical="center"/>
    </xf>
    <xf numFmtId="0" fontId="19" fillId="0" borderId="0" xfId="0" applyFont="1" applyAlignment="1">
      <alignment vertical="center" wrapText="1"/>
    </xf>
    <xf numFmtId="0" fontId="21" fillId="5" borderId="8" xfId="0" applyFont="1" applyFill="1" applyBorder="1">
      <alignment vertical="center"/>
    </xf>
    <xf numFmtId="0" fontId="19" fillId="5" borderId="8" xfId="0" applyFont="1" applyFill="1" applyBorder="1">
      <alignment vertical="center"/>
    </xf>
    <xf numFmtId="176" fontId="19" fillId="7" borderId="8" xfId="1" applyNumberFormat="1" applyFont="1" applyFill="1" applyBorder="1" applyAlignment="1">
      <alignment horizontal="left" vertical="center"/>
    </xf>
    <xf numFmtId="0" fontId="19" fillId="7" borderId="8" xfId="0" applyFont="1" applyFill="1" applyBorder="1" applyAlignment="1">
      <alignment horizontal="left" vertical="center"/>
    </xf>
    <xf numFmtId="0" fontId="19" fillId="12" borderId="8" xfId="0" applyFont="1" applyFill="1" applyBorder="1" applyAlignment="1">
      <alignment horizontal="left" vertical="center"/>
    </xf>
    <xf numFmtId="9" fontId="19" fillId="7" borderId="8" xfId="0" applyNumberFormat="1" applyFont="1" applyFill="1" applyBorder="1" applyAlignment="1">
      <alignment horizontal="left" vertical="center"/>
    </xf>
    <xf numFmtId="180" fontId="19" fillId="5" borderId="0" xfId="1" applyNumberFormat="1" applyFont="1" applyFill="1" applyBorder="1">
      <alignment vertical="center"/>
    </xf>
    <xf numFmtId="181" fontId="19" fillId="12" borderId="8" xfId="0" applyNumberFormat="1" applyFont="1" applyFill="1" applyBorder="1" applyAlignment="1">
      <alignment horizontal="left" vertical="center" wrapText="1"/>
    </xf>
    <xf numFmtId="43" fontId="19" fillId="5" borderId="0" xfId="1" applyFont="1" applyFill="1" applyBorder="1">
      <alignment vertical="center"/>
    </xf>
    <xf numFmtId="0" fontId="21" fillId="13" borderId="18" xfId="0" applyFont="1" applyFill="1" applyBorder="1">
      <alignment vertical="center"/>
    </xf>
    <xf numFmtId="0" fontId="21" fillId="13" borderId="8" xfId="0" applyFont="1" applyFill="1" applyBorder="1">
      <alignment vertical="center"/>
    </xf>
    <xf numFmtId="176" fontId="19" fillId="12" borderId="8" xfId="1" applyNumberFormat="1" applyFont="1" applyFill="1" applyBorder="1" applyAlignment="1">
      <alignment horizontal="left" vertical="center"/>
    </xf>
    <xf numFmtId="0" fontId="19" fillId="13" borderId="18" xfId="0" applyFont="1" applyFill="1" applyBorder="1">
      <alignment vertical="center"/>
    </xf>
    <xf numFmtId="0" fontId="19" fillId="13" borderId="8" xfId="0" applyFont="1" applyFill="1" applyBorder="1" applyAlignment="1">
      <alignment horizontal="left" vertical="center"/>
    </xf>
    <xf numFmtId="0" fontId="19" fillId="13" borderId="8" xfId="0" applyFont="1" applyFill="1" applyBorder="1">
      <alignment vertical="center"/>
    </xf>
    <xf numFmtId="180" fontId="19" fillId="12" borderId="8" xfId="1" applyNumberFormat="1" applyFont="1" applyFill="1" applyBorder="1" applyAlignment="1">
      <alignment horizontal="left" vertical="center"/>
    </xf>
    <xf numFmtId="180" fontId="19" fillId="12" borderId="8" xfId="1" applyNumberFormat="1" applyFont="1" applyFill="1" applyBorder="1">
      <alignment vertical="center"/>
    </xf>
    <xf numFmtId="182" fontId="21" fillId="12" borderId="8" xfId="1" applyNumberFormat="1" applyFont="1" applyFill="1" applyBorder="1">
      <alignment vertical="center"/>
    </xf>
    <xf numFmtId="181" fontId="26" fillId="12" borderId="8" xfId="0" applyNumberFormat="1" applyFont="1" applyFill="1" applyBorder="1" applyAlignment="1">
      <alignment horizontal="left" vertical="center" wrapText="1"/>
    </xf>
    <xf numFmtId="181" fontId="26" fillId="7" borderId="8" xfId="0" applyNumberFormat="1" applyFont="1" applyFill="1" applyBorder="1" applyAlignment="1">
      <alignment horizontal="left" vertical="center" wrapText="1"/>
    </xf>
    <xf numFmtId="176" fontId="19" fillId="13" borderId="8" xfId="1" applyNumberFormat="1" applyFont="1" applyFill="1" applyBorder="1">
      <alignment vertical="center"/>
    </xf>
    <xf numFmtId="183" fontId="19" fillId="13" borderId="0" xfId="1" applyNumberFormat="1" applyFont="1" applyFill="1" applyBorder="1">
      <alignment vertical="center"/>
    </xf>
    <xf numFmtId="0" fontId="18" fillId="5" borderId="0" xfId="0" applyFont="1" applyFill="1" applyAlignment="1">
      <alignment horizontal="center" vertical="center" wrapText="1"/>
    </xf>
    <xf numFmtId="0" fontId="18" fillId="12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176" fontId="18" fillId="5" borderId="0" xfId="0" applyNumberFormat="1" applyFont="1" applyFill="1" applyAlignment="1">
      <alignment horizontal="center" vertical="center"/>
    </xf>
    <xf numFmtId="0" fontId="18" fillId="13" borderId="0" xfId="0" applyFont="1" applyFill="1" applyAlignment="1">
      <alignment horizontal="center" vertical="center" wrapText="1"/>
    </xf>
    <xf numFmtId="0" fontId="28" fillId="12" borderId="8" xfId="0" applyFont="1" applyFill="1" applyBorder="1">
      <alignment vertical="center"/>
    </xf>
    <xf numFmtId="176" fontId="18" fillId="13" borderId="0" xfId="0" applyNumberFormat="1" applyFont="1" applyFill="1" applyAlignment="1">
      <alignment horizontal="center" vertical="center"/>
    </xf>
    <xf numFmtId="2" fontId="19" fillId="7" borderId="8" xfId="0" applyNumberFormat="1" applyFont="1" applyFill="1" applyBorder="1">
      <alignment vertical="center"/>
    </xf>
    <xf numFmtId="2" fontId="19" fillId="5" borderId="0" xfId="0" applyNumberFormat="1" applyFont="1" applyFill="1">
      <alignment vertical="center"/>
    </xf>
    <xf numFmtId="1" fontId="19" fillId="7" borderId="8" xfId="0" applyNumberFormat="1" applyFont="1" applyFill="1" applyBorder="1">
      <alignment vertical="center"/>
    </xf>
    <xf numFmtId="1" fontId="19" fillId="12" borderId="8" xfId="0" applyNumberFormat="1" applyFont="1" applyFill="1" applyBorder="1">
      <alignment vertical="center"/>
    </xf>
    <xf numFmtId="184" fontId="21" fillId="12" borderId="8" xfId="0" applyNumberFormat="1" applyFont="1" applyFill="1" applyBorder="1">
      <alignment vertical="center"/>
    </xf>
    <xf numFmtId="176" fontId="28" fillId="12" borderId="8" xfId="0" applyNumberFormat="1" applyFont="1" applyFill="1" applyBorder="1">
      <alignment vertical="center"/>
    </xf>
    <xf numFmtId="185" fontId="19" fillId="12" borderId="8" xfId="0" applyNumberFormat="1" applyFont="1" applyFill="1" applyBorder="1">
      <alignment vertical="center"/>
    </xf>
    <xf numFmtId="2" fontId="19" fillId="13" borderId="0" xfId="0" applyNumberFormat="1" applyFont="1" applyFill="1">
      <alignment vertical="center"/>
    </xf>
    <xf numFmtId="176" fontId="21" fillId="12" borderId="8" xfId="0" applyNumberFormat="1" applyFont="1" applyFill="1" applyBorder="1">
      <alignment vertical="center"/>
    </xf>
    <xf numFmtId="176" fontId="21" fillId="13" borderId="0" xfId="0" applyNumberFormat="1" applyFont="1" applyFill="1">
      <alignment vertical="center"/>
    </xf>
    <xf numFmtId="0" fontId="19" fillId="0" borderId="0" xfId="0" applyFont="1" applyAlignment="1">
      <alignment horizontal="left" vertical="center"/>
    </xf>
    <xf numFmtId="176" fontId="21" fillId="0" borderId="8" xfId="0" applyNumberFormat="1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176" fontId="21" fillId="0" borderId="0" xfId="0" applyNumberFormat="1" applyFont="1" applyAlignment="1">
      <alignment horizontal="left" vertical="center"/>
    </xf>
    <xf numFmtId="176" fontId="29" fillId="0" borderId="0" xfId="0" applyNumberFormat="1" applyFont="1" applyAlignment="1">
      <alignment horizontal="left" vertical="center"/>
    </xf>
    <xf numFmtId="176" fontId="21" fillId="0" borderId="8" xfId="0" applyNumberFormat="1" applyFont="1" applyBorder="1" applyAlignment="1">
      <alignment horizontal="left" vertical="center" indent="3"/>
    </xf>
    <xf numFmtId="10" fontId="30" fillId="0" borderId="8" xfId="0" applyNumberFormat="1" applyFont="1" applyBorder="1" applyAlignment="1">
      <alignment horizontal="left" vertical="center"/>
    </xf>
    <xf numFmtId="10" fontId="31" fillId="0" borderId="8" xfId="0" applyNumberFormat="1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 indent="3"/>
    </xf>
    <xf numFmtId="0" fontId="2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0" fontId="33" fillId="0" borderId="8" xfId="0" applyNumberFormat="1" applyFont="1" applyBorder="1" applyAlignment="1">
      <alignment horizontal="left" vertical="center"/>
    </xf>
    <xf numFmtId="10" fontId="0" fillId="0" borderId="0" xfId="0" applyNumberFormat="1" applyAlignment="1">
      <alignment horizontal="left" vertical="center"/>
    </xf>
    <xf numFmtId="176" fontId="19" fillId="0" borderId="0" xfId="0" applyNumberFormat="1" applyFont="1" applyAlignment="1">
      <alignment horizontal="left" vertical="center"/>
    </xf>
    <xf numFmtId="176" fontId="34" fillId="0" borderId="0" xfId="0" applyNumberFormat="1" applyFont="1" applyAlignment="1">
      <alignment horizontal="left" vertical="center"/>
    </xf>
    <xf numFmtId="186" fontId="21" fillId="7" borderId="0" xfId="0" applyNumberFormat="1" applyFont="1" applyFill="1" applyAlignment="1">
      <alignment horizontal="left" vertical="center"/>
    </xf>
    <xf numFmtId="182" fontId="0" fillId="0" borderId="8" xfId="0" applyNumberForma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0" fontId="0" fillId="0" borderId="8" xfId="2" applyNumberFormat="1" applyFont="1" applyBorder="1" applyAlignment="1">
      <alignment horizontal="left" vertical="center"/>
    </xf>
    <xf numFmtId="176" fontId="20" fillId="0" borderId="0" xfId="0" applyNumberFormat="1" applyFont="1" applyAlignment="1">
      <alignment horizontal="left" vertical="center"/>
    </xf>
    <xf numFmtId="10" fontId="19" fillId="0" borderId="8" xfId="0" applyNumberFormat="1" applyFont="1" applyBorder="1" applyAlignment="1">
      <alignment horizontal="left" vertical="center"/>
    </xf>
    <xf numFmtId="10" fontId="28" fillId="0" borderId="8" xfId="0" applyNumberFormat="1" applyFont="1" applyBorder="1" applyAlignment="1">
      <alignment horizontal="left" vertical="center"/>
    </xf>
    <xf numFmtId="10" fontId="35" fillId="0" borderId="8" xfId="0" applyNumberFormat="1" applyFont="1" applyBorder="1" applyAlignment="1">
      <alignment horizontal="left" vertical="center"/>
    </xf>
    <xf numFmtId="176" fontId="36" fillId="0" borderId="0" xfId="0" applyNumberFormat="1" applyFont="1" applyAlignment="1">
      <alignment horizontal="left" vertical="center"/>
    </xf>
    <xf numFmtId="186" fontId="34" fillId="0" borderId="0" xfId="0" applyNumberFormat="1" applyFont="1" applyAlignment="1">
      <alignment horizontal="left" vertical="center"/>
    </xf>
    <xf numFmtId="182" fontId="36" fillId="14" borderId="24" xfId="0" applyNumberFormat="1" applyFont="1" applyFill="1" applyBorder="1" applyAlignment="1">
      <alignment horizontal="left" vertical="center"/>
    </xf>
    <xf numFmtId="10" fontId="36" fillId="14" borderId="24" xfId="0" applyNumberFormat="1" applyFont="1" applyFill="1" applyBorder="1" applyAlignment="1">
      <alignment horizontal="left" vertical="center"/>
    </xf>
    <xf numFmtId="10" fontId="0" fillId="0" borderId="8" xfId="0" applyNumberForma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86" fontId="21" fillId="0" borderId="0" xfId="0" applyNumberFormat="1" applyFont="1" applyAlignment="1">
      <alignment horizontal="left" vertical="center"/>
    </xf>
    <xf numFmtId="182" fontId="19" fillId="12" borderId="8" xfId="0" applyNumberFormat="1" applyFont="1" applyFill="1" applyBorder="1" applyAlignment="1">
      <alignment horizontal="left" vertical="center"/>
    </xf>
    <xf numFmtId="10" fontId="19" fillId="12" borderId="8" xfId="2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1" fillId="15" borderId="8" xfId="0" applyFont="1" applyFill="1" applyBorder="1" applyAlignment="1">
      <alignment horizontal="left" vertical="center"/>
    </xf>
    <xf numFmtId="0" fontId="36" fillId="16" borderId="0" xfId="0" applyFont="1" applyFill="1" applyAlignment="1">
      <alignment horizontal="left" vertical="center"/>
    </xf>
    <xf numFmtId="0" fontId="37" fillId="0" borderId="0" xfId="0" applyFont="1">
      <alignment vertical="center"/>
    </xf>
    <xf numFmtId="176" fontId="19" fillId="12" borderId="8" xfId="0" applyNumberFormat="1" applyFont="1" applyFill="1" applyBorder="1" applyAlignment="1">
      <alignment horizontal="left" vertical="center"/>
    </xf>
    <xf numFmtId="182" fontId="21" fillId="12" borderId="8" xfId="0" applyNumberFormat="1" applyFont="1" applyFill="1" applyBorder="1" applyAlignment="1">
      <alignment horizontal="left" vertical="center"/>
    </xf>
    <xf numFmtId="0" fontId="36" fillId="17" borderId="0" xfId="0" applyFont="1" applyFill="1" applyAlignment="1">
      <alignment horizontal="left" vertical="center"/>
    </xf>
    <xf numFmtId="186" fontId="20" fillId="0" borderId="0" xfId="0" applyNumberFormat="1" applyFont="1" applyAlignment="1">
      <alignment horizontal="left" vertical="center"/>
    </xf>
    <xf numFmtId="176" fontId="36" fillId="14" borderId="24" xfId="0" applyNumberFormat="1" applyFont="1" applyFill="1" applyBorder="1" applyAlignment="1">
      <alignment horizontal="left" vertical="center"/>
    </xf>
    <xf numFmtId="182" fontId="34" fillId="14" borderId="24" xfId="0" applyNumberFormat="1" applyFont="1" applyFill="1" applyBorder="1" applyAlignment="1">
      <alignment horizontal="left" vertical="center"/>
    </xf>
    <xf numFmtId="176" fontId="21" fillId="18" borderId="0" xfId="0" applyNumberFormat="1" applyFont="1" applyFill="1" applyAlignment="1">
      <alignment horizontal="left" vertical="center"/>
    </xf>
    <xf numFmtId="10" fontId="21" fillId="12" borderId="8" xfId="2" applyNumberFormat="1" applyFont="1" applyFill="1" applyBorder="1" applyAlignment="1">
      <alignment horizontal="left" vertical="center"/>
    </xf>
    <xf numFmtId="10" fontId="34" fillId="14" borderId="24" xfId="0" applyNumberFormat="1" applyFont="1" applyFill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187" fontId="19" fillId="12" borderId="8" xfId="0" applyNumberFormat="1" applyFont="1" applyFill="1" applyBorder="1" applyAlignment="1">
      <alignment horizontal="left" vertical="center"/>
    </xf>
    <xf numFmtId="0" fontId="19" fillId="19" borderId="0" xfId="0" applyFont="1" applyFill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12" borderId="0" xfId="0" applyFont="1" applyFill="1" applyAlignment="1">
      <alignment horizontal="left" vertical="center"/>
    </xf>
    <xf numFmtId="0" fontId="21" fillId="7" borderId="0" xfId="0" applyFont="1" applyFill="1">
      <alignment vertical="center"/>
    </xf>
    <xf numFmtId="0" fontId="38" fillId="0" borderId="0" xfId="0" applyFont="1">
      <alignment vertical="center"/>
    </xf>
    <xf numFmtId="0" fontId="21" fillId="7" borderId="0" xfId="0" applyFont="1" applyFill="1" applyAlignment="1">
      <alignment horizontal="left" vertical="center"/>
    </xf>
    <xf numFmtId="0" fontId="21" fillId="12" borderId="0" xfId="0" applyFont="1" applyFill="1" applyAlignment="1">
      <alignment horizontal="left" vertical="center"/>
    </xf>
    <xf numFmtId="186" fontId="21" fillId="12" borderId="0" xfId="0" applyNumberFormat="1" applyFont="1" applyFill="1" applyAlignment="1">
      <alignment horizontal="left" vertical="center"/>
    </xf>
    <xf numFmtId="0" fontId="19" fillId="11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 readingOrder="1"/>
    </xf>
    <xf numFmtId="176" fontId="28" fillId="12" borderId="8" xfId="0" applyNumberFormat="1" applyFont="1" applyFill="1" applyBorder="1" applyAlignment="1">
      <alignment horizontal="left" vertical="center"/>
    </xf>
    <xf numFmtId="0" fontId="51" fillId="0" borderId="8" xfId="0" applyFont="1" applyBorder="1" applyAlignment="1">
      <alignment horizontal="left" vertical="center" indent="3"/>
    </xf>
    <xf numFmtId="0" fontId="25" fillId="5" borderId="0" xfId="0" applyFont="1" applyFill="1" applyAlignment="1">
      <alignment horizontal="center" vertical="center"/>
    </xf>
    <xf numFmtId="0" fontId="25" fillId="1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7" fillId="1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13" borderId="0" xfId="0" applyFont="1" applyFill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0" fontId="26" fillId="0" borderId="8" xfId="0" applyNumberFormat="1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176" fontId="21" fillId="0" borderId="0" xfId="0" applyNumberFormat="1" applyFont="1" applyBorder="1" applyAlignment="1">
      <alignment horizontal="left" vertical="center"/>
    </xf>
    <xf numFmtId="0" fontId="53" fillId="0" borderId="0" xfId="0" applyFont="1" applyBorder="1" applyAlignment="1">
      <alignment horizontal="left" vertical="center"/>
    </xf>
    <xf numFmtId="0" fontId="52" fillId="0" borderId="0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52" fillId="0" borderId="8" xfId="0" applyFont="1" applyBorder="1" applyAlignment="1">
      <alignment horizontal="left" vertical="center"/>
    </xf>
    <xf numFmtId="10" fontId="49" fillId="0" borderId="8" xfId="0" applyNumberFormat="1" applyFont="1" applyBorder="1" applyAlignment="1">
      <alignment horizontal="left" vertical="center"/>
    </xf>
    <xf numFmtId="1" fontId="49" fillId="0" borderId="8" xfId="0" applyNumberFormat="1" applyFont="1" applyBorder="1" applyAlignment="1">
      <alignment horizontal="left" vertical="center"/>
    </xf>
    <xf numFmtId="179" fontId="49" fillId="0" borderId="8" xfId="0" applyNumberFormat="1" applyFont="1" applyBorder="1" applyAlignment="1">
      <alignment horizontal="left" vertical="center"/>
    </xf>
    <xf numFmtId="179" fontId="35" fillId="0" borderId="8" xfId="0" applyNumberFormat="1" applyFont="1" applyBorder="1" applyAlignment="1">
      <alignment horizontal="left" vertical="center"/>
    </xf>
    <xf numFmtId="1" fontId="0" fillId="0" borderId="8" xfId="0" applyNumberFormat="1" applyBorder="1" applyAlignment="1">
      <alignment horizontal="left" vertical="center"/>
    </xf>
    <xf numFmtId="179" fontId="0" fillId="0" borderId="8" xfId="0" applyNumberFormat="1" applyBorder="1" applyAlignment="1">
      <alignment horizontal="left" vertical="center"/>
    </xf>
    <xf numFmtId="0" fontId="21" fillId="20" borderId="0" xfId="0" applyFont="1" applyFill="1" applyAlignment="1">
      <alignment horizontal="left" vertical="center"/>
    </xf>
    <xf numFmtId="1" fontId="49" fillId="0" borderId="0" xfId="0" applyNumberFormat="1" applyFont="1" applyBorder="1" applyAlignment="1">
      <alignment horizontal="left" vertical="center"/>
    </xf>
    <xf numFmtId="179" fontId="49" fillId="0" borderId="0" xfId="0" applyNumberFormat="1" applyFont="1" applyBorder="1" applyAlignment="1">
      <alignment horizontal="left" vertical="center"/>
    </xf>
    <xf numFmtId="179" fontId="35" fillId="0" borderId="0" xfId="0" applyNumberFormat="1" applyFont="1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179" fontId="0" fillId="0" borderId="0" xfId="0" applyNumberFormat="1" applyBorder="1" applyAlignment="1">
      <alignment horizontal="left" vertical="center"/>
    </xf>
    <xf numFmtId="0" fontId="0" fillId="20" borderId="0" xfId="0" applyFill="1" applyAlignment="1">
      <alignment horizontal="left" vertical="center"/>
    </xf>
    <xf numFmtId="10" fontId="0" fillId="20" borderId="0" xfId="0" applyNumberFormat="1" applyFill="1" applyAlignment="1">
      <alignment horizontal="left" vertical="center"/>
    </xf>
    <xf numFmtId="0" fontId="49" fillId="20" borderId="0" xfId="0" applyFont="1" applyFill="1" applyAlignment="1">
      <alignment horizontal="left" vertical="center"/>
    </xf>
    <xf numFmtId="0" fontId="24" fillId="20" borderId="0" xfId="0" applyFont="1" applyFill="1" applyAlignment="1">
      <alignment horizontal="left" vertical="center"/>
    </xf>
    <xf numFmtId="0" fontId="19" fillId="20" borderId="0" xfId="0" applyFont="1" applyFill="1" applyAlignment="1">
      <alignment horizontal="left"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png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0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en-US" altLang="zh-CN" sz="1400" b="0" i="0" u="none" strike="noStrike" baseline="0">
                <a:effectLst/>
                <a:sym typeface="微软雅黑" panose="020B0503020204020204" charset="-122"/>
              </a:rPr>
              <a:t>CDDS Single Treatment Cost Savings</a:t>
            </a:r>
            <a:r>
              <a:rPr lang="en-US" altLang="zh-CN" sz="1400" b="0" i="0" u="none" strike="noStrike" baseline="0">
                <a:sym typeface="微软雅黑" panose="020B0503020204020204" charset="-122"/>
              </a:rPr>
              <a:t> 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lang="zh-CN"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4705422934564798E-3"/>
          <c:y val="4.10751122436597E-2"/>
          <c:w val="0.99252948546104758"/>
          <c:h val="0.95892496043281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'Results graph'!$A$96</c:f>
              <c:strCache>
                <c:ptCount val="1"/>
                <c:pt idx="0">
                  <c:v>Scenario 1</c:v>
                </c:pt>
              </c:strCache>
            </c:strRef>
          </c:tx>
          <c:spPr>
            <a:gradFill rotWithShape="1">
              <a:gsLst>
                <a:gs pos="44000">
                  <a:schemeClr val="accent1"/>
                </a:gs>
                <a:gs pos="45000">
                  <a:schemeClr val="accent1">
                    <a:lumMod val="40000"/>
                    <a:lumOff val="60000"/>
                  </a:schemeClr>
                </a:gs>
                <a:gs pos="56000">
                  <a:schemeClr val="accent1"/>
                </a:gs>
                <a:gs pos="55000">
                  <a:schemeClr val="accent1">
                    <a:lumMod val="40000"/>
                    <a:lumOff val="60000"/>
                  </a:schemeClr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graph'!$B$95:$Q$95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graph'!$B$96:$Q$96</c:f>
              <c:numCache>
                <c:formatCode>0</c:formatCode>
                <c:ptCount val="16"/>
                <c:pt idx="0">
                  <c:v>-19.171540663084802</c:v>
                </c:pt>
                <c:pt idx="1">
                  <c:v>0.191352487912331</c:v>
                </c:pt>
                <c:pt idx="2">
                  <c:v>14.021990452910201</c:v>
                </c:pt>
                <c:pt idx="3">
                  <c:v>24.394968926658802</c:v>
                </c:pt>
                <c:pt idx="4">
                  <c:v>32.462841072907601</c:v>
                </c:pt>
                <c:pt idx="5">
                  <c:v>38.917138789906602</c:v>
                </c:pt>
                <c:pt idx="6">
                  <c:v>44.197927831087704</c:v>
                </c:pt>
                <c:pt idx="7">
                  <c:v>48.598585365405199</c:v>
                </c:pt>
                <c:pt idx="8">
                  <c:v>58.280031940903797</c:v>
                </c:pt>
                <c:pt idx="9">
                  <c:v>66.278786208710102</c:v>
                </c:pt>
                <c:pt idx="10">
                  <c:v>72.424192615547696</c:v>
                </c:pt>
                <c:pt idx="11">
                  <c:v>76.521130220106102</c:v>
                </c:pt>
                <c:pt idx="12">
                  <c:v>78.485975761823596</c:v>
                </c:pt>
                <c:pt idx="13">
                  <c:v>80.800956071957899</c:v>
                </c:pt>
                <c:pt idx="14">
                  <c:v>82.601496313173499</c:v>
                </c:pt>
                <c:pt idx="15">
                  <c:v>83.368851583069002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3-F244-8727-01750C8CDF7D}"/>
            </c:ext>
          </c:extLst>
        </c:ser>
        <c:ser>
          <c:idx val="1"/>
          <c:order val="1"/>
          <c:tx>
            <c:strRef>
              <c:f>'Results graph'!$A$97</c:f>
              <c:strCache>
                <c:ptCount val="1"/>
                <c:pt idx="0">
                  <c:v>Scenario 2</c:v>
                </c:pt>
              </c:strCache>
            </c:strRef>
          </c:tx>
          <c:spPr>
            <a:gradFill rotWithShape="1">
              <a:gsLst>
                <a:gs pos="44000">
                  <a:schemeClr val="accent2"/>
                </a:gs>
                <a:gs pos="45000">
                  <a:schemeClr val="accent2">
                    <a:lumMod val="40000"/>
                    <a:lumOff val="60000"/>
                  </a:schemeClr>
                </a:gs>
                <a:gs pos="56000">
                  <a:schemeClr val="accent2"/>
                </a:gs>
                <a:gs pos="55000">
                  <a:schemeClr val="accent2">
                    <a:lumMod val="40000"/>
                    <a:lumOff val="60000"/>
                  </a:schemeClr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graph'!$B$95:$Q$95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graph'!$B$97:$Q$97</c:f>
              <c:numCache>
                <c:formatCode>0</c:formatCode>
                <c:ptCount val="16"/>
                <c:pt idx="0">
                  <c:v>16.5681345277983</c:v>
                </c:pt>
                <c:pt idx="1">
                  <c:v>29.476729961796501</c:v>
                </c:pt>
                <c:pt idx="2">
                  <c:v>38.697155271795097</c:v>
                </c:pt>
                <c:pt idx="3">
                  <c:v>45.612474254294099</c:v>
                </c:pt>
                <c:pt idx="4">
                  <c:v>50.991055685126597</c:v>
                </c:pt>
                <c:pt idx="5">
                  <c:v>55.293920829792697</c:v>
                </c:pt>
                <c:pt idx="6">
                  <c:v>56.774819817619701</c:v>
                </c:pt>
                <c:pt idx="7">
                  <c:v>59.8785604271336</c:v>
                </c:pt>
                <c:pt idx="8">
                  <c:v>66.706789768064297</c:v>
                </c:pt>
                <c:pt idx="9">
                  <c:v>73.535019108994902</c:v>
                </c:pt>
                <c:pt idx="10">
                  <c:v>76.734520816117495</c:v>
                </c:pt>
                <c:pt idx="11">
                  <c:v>79.615385202062399</c:v>
                </c:pt>
                <c:pt idx="12">
                  <c:v>81.032119836711701</c:v>
                </c:pt>
                <c:pt idx="13">
                  <c:v>82.655568248596097</c:v>
                </c:pt>
                <c:pt idx="14">
                  <c:v>83.419674848152894</c:v>
                </c:pt>
                <c:pt idx="15">
                  <c:v>84.479678076516294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23-F244-8727-01750C8CDF7D}"/>
            </c:ext>
          </c:extLst>
        </c:ser>
        <c:ser>
          <c:idx val="2"/>
          <c:order val="2"/>
          <c:tx>
            <c:strRef>
              <c:f>'Results graph'!$A$98</c:f>
              <c:strCache>
                <c:ptCount val="1"/>
                <c:pt idx="0">
                  <c:v>Scenario 3</c:v>
                </c:pt>
              </c:strCache>
            </c:strRef>
          </c:tx>
          <c:spPr>
            <a:gradFill rotWithShape="1">
              <a:gsLst>
                <a:gs pos="44000">
                  <a:schemeClr val="accent3"/>
                </a:gs>
                <a:gs pos="44000">
                  <a:schemeClr val="accent3">
                    <a:lumMod val="40000"/>
                    <a:lumOff val="60000"/>
                  </a:schemeClr>
                </a:gs>
                <a:gs pos="56000">
                  <a:schemeClr val="accent3"/>
                </a:gs>
                <a:gs pos="55000">
                  <a:schemeClr val="accent3">
                    <a:lumMod val="40000"/>
                    <a:lumOff val="60000"/>
                  </a:schemeClr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graph'!$B$95:$Q$95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graph'!$B$98:$Q$98</c:f>
              <c:numCache>
                <c:formatCode>0</c:formatCode>
                <c:ptCount val="16"/>
                <c:pt idx="0">
                  <c:v>-54.366519295563499</c:v>
                </c:pt>
                <c:pt idx="1">
                  <c:v>-35.003626144566297</c:v>
                </c:pt>
                <c:pt idx="2">
                  <c:v>-21.172988179568399</c:v>
                </c:pt>
                <c:pt idx="3">
                  <c:v>-10.8000097058199</c:v>
                </c:pt>
                <c:pt idx="4">
                  <c:v>-2.7321375595710702</c:v>
                </c:pt>
                <c:pt idx="5">
                  <c:v>3.7221601574279601</c:v>
                </c:pt>
                <c:pt idx="6">
                  <c:v>9.0029491986090004</c:v>
                </c:pt>
                <c:pt idx="7">
                  <c:v>13.403606732926599</c:v>
                </c:pt>
                <c:pt idx="8">
                  <c:v>23.085053308425099</c:v>
                </c:pt>
                <c:pt idx="9">
                  <c:v>31.083807576231401</c:v>
                </c:pt>
                <c:pt idx="10">
                  <c:v>37.229213983069002</c:v>
                </c:pt>
                <c:pt idx="11">
                  <c:v>41.3261515876274</c:v>
                </c:pt>
                <c:pt idx="12">
                  <c:v>43.290997129344902</c:v>
                </c:pt>
                <c:pt idx="13">
                  <c:v>45.605977439479197</c:v>
                </c:pt>
                <c:pt idx="14">
                  <c:v>47.406517680694797</c:v>
                </c:pt>
                <c:pt idx="15">
                  <c:v>48.173872950590301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23-F244-8727-01750C8CDF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30"/>
        <c:axId val="276738814"/>
        <c:axId val="304109463"/>
      </c:barChart>
      <c:catAx>
        <c:axId val="27673881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  <a:alpha val="2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304109463"/>
        <c:crosses val="autoZero"/>
        <c:auto val="1"/>
        <c:lblAlgn val="ctr"/>
        <c:lblOffset val="100"/>
        <c:noMultiLvlLbl val="0"/>
      </c:catAx>
      <c:valAx>
        <c:axId val="304109463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276738814"/>
        <c:crosses val="autoZero"/>
        <c:crossBetween val="between"/>
      </c:valAx>
      <c:spPr>
        <a:noFill/>
        <a:ln w="3175" cmpd="dbl">
          <a:noFill/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77978919506546296"/>
          <c:y val="0.6694776436328340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6350" cap="flat" cmpd="dbl" algn="ctr">
      <a:solidFill>
        <a:schemeClr val="tx1">
          <a:lumMod val="50000"/>
          <a:lumOff val="50000"/>
          <a:alpha val="25000"/>
        </a:schemeClr>
      </a:solidFill>
      <a:prstDash val="solid"/>
      <a:round/>
    </a:ln>
    <a:effectLst>
      <a:outerShdw blurRad="63500" dist="37357" dir="2700000" sx="0" sy="0" rotWithShape="0">
        <a:scrgbClr r="0" g="0" b="0"/>
      </a:outerShdw>
    </a:effectLst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en-US" altLang="zh-CN" sz="1400" b="0" i="0" u="none" strike="noStrike" baseline="0">
                <a:effectLst/>
                <a:sym typeface="微软雅黑" panose="020B0503020204020204" charset="-122"/>
              </a:rPr>
              <a:t>CDDS  Cost Savings per day of treatment</a:t>
            </a:r>
            <a:r>
              <a:rPr lang="en-US" altLang="zh-CN" sz="1400" b="0" i="0" u="none" strike="noStrike" baseline="0">
                <a:sym typeface="微软雅黑" panose="020B0503020204020204" charset="-122"/>
              </a:rPr>
              <a:t> 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1671816279137295E-3"/>
          <c:y val="0"/>
          <c:w val="0.98966563674417252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'Results graph'!$A$108</c:f>
              <c:strCache>
                <c:ptCount val="1"/>
                <c:pt idx="0">
                  <c:v>Scenario 1</c:v>
                </c:pt>
              </c:strCache>
            </c:strRef>
          </c:tx>
          <c:spPr>
            <a:blipFill rotWithShape="1">
              <a:blip xmlns:r="http://schemas.openxmlformats.org/officeDocument/2006/relationships" r:embed="rId4">
                <a:duotone>
                  <a:schemeClr val="accent1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graph'!$B$107:$Q$107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graph'!$B$108:$Q$108</c:f>
              <c:numCache>
                <c:formatCode>0_ </c:formatCode>
                <c:ptCount val="16"/>
                <c:pt idx="0">
                  <c:v>-191.715406630849</c:v>
                </c:pt>
                <c:pt idx="1">
                  <c:v>2.2962298549476801</c:v>
                </c:pt>
                <c:pt idx="2">
                  <c:v>196.307866340744</c:v>
                </c:pt>
                <c:pt idx="3">
                  <c:v>390.31950282653997</c:v>
                </c:pt>
                <c:pt idx="4">
                  <c:v>584.33113931233595</c:v>
                </c:pt>
                <c:pt idx="5">
                  <c:v>778.34277579812999</c:v>
                </c:pt>
                <c:pt idx="6">
                  <c:v>972.35441228392597</c:v>
                </c:pt>
                <c:pt idx="7">
                  <c:v>1166.36604876972</c:v>
                </c:pt>
                <c:pt idx="8">
                  <c:v>1748.4009582271101</c:v>
                </c:pt>
                <c:pt idx="9">
                  <c:v>2651.1514483484002</c:v>
                </c:pt>
                <c:pt idx="10">
                  <c:v>3621.20963077738</c:v>
                </c:pt>
                <c:pt idx="11">
                  <c:v>4591.2678132063602</c:v>
                </c:pt>
                <c:pt idx="12">
                  <c:v>5494.0183033276498</c:v>
                </c:pt>
                <c:pt idx="13">
                  <c:v>6464.0764857566301</c:v>
                </c:pt>
                <c:pt idx="14">
                  <c:v>7434.1346681856103</c:v>
                </c:pt>
                <c:pt idx="15">
                  <c:v>8336.8851583069008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C-4046-B7DE-21539B4D5E07}"/>
            </c:ext>
          </c:extLst>
        </c:ser>
        <c:ser>
          <c:idx val="1"/>
          <c:order val="1"/>
          <c:tx>
            <c:strRef>
              <c:f>'Results graph'!$A$109</c:f>
              <c:strCache>
                <c:ptCount val="1"/>
                <c:pt idx="0">
                  <c:v>Scenario 2</c:v>
                </c:pt>
              </c:strCache>
            </c:strRef>
          </c:tx>
          <c:spPr>
            <a:blipFill rotWithShape="1">
              <a:blip xmlns:r="http://schemas.openxmlformats.org/officeDocument/2006/relationships" r:embed="rId4">
                <a:duotone>
                  <a:schemeClr val="accent2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graph'!$B$107:$Q$107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graph'!$B$109:$Q$109</c:f>
              <c:numCache>
                <c:formatCode>0_ </c:formatCode>
                <c:ptCount val="16"/>
                <c:pt idx="0">
                  <c:v>248.52201791697499</c:v>
                </c:pt>
                <c:pt idx="1">
                  <c:v>530.58113931233595</c:v>
                </c:pt>
                <c:pt idx="2">
                  <c:v>812.64026070769603</c:v>
                </c:pt>
                <c:pt idx="3">
                  <c:v>1094.6993821030601</c:v>
                </c:pt>
                <c:pt idx="4">
                  <c:v>1376.7585034984199</c:v>
                </c:pt>
                <c:pt idx="5">
                  <c:v>1658.81762489378</c:v>
                </c:pt>
                <c:pt idx="6">
                  <c:v>1873.56905398145</c:v>
                </c:pt>
                <c:pt idx="7">
                  <c:v>2155.6281753768098</c:v>
                </c:pt>
                <c:pt idx="8">
                  <c:v>3001.8055395628899</c:v>
                </c:pt>
                <c:pt idx="9">
                  <c:v>4412.1011465396896</c:v>
                </c:pt>
                <c:pt idx="10">
                  <c:v>5755.0890612088097</c:v>
                </c:pt>
                <c:pt idx="11">
                  <c:v>7165.3846681856103</c:v>
                </c:pt>
                <c:pt idx="12">
                  <c:v>8508.3725828547194</c:v>
                </c:pt>
                <c:pt idx="13">
                  <c:v>9918.6681898315292</c:v>
                </c:pt>
                <c:pt idx="14">
                  <c:v>11261.6561045006</c:v>
                </c:pt>
                <c:pt idx="15">
                  <c:v>12671.951711477401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FC-4046-B7DE-21539B4D5E07}"/>
            </c:ext>
          </c:extLst>
        </c:ser>
        <c:ser>
          <c:idx val="2"/>
          <c:order val="2"/>
          <c:tx>
            <c:strRef>
              <c:f>'Results graph'!$A$110</c:f>
              <c:strCache>
                <c:ptCount val="1"/>
                <c:pt idx="0">
                  <c:v>Scenario 3</c:v>
                </c:pt>
              </c:strCache>
            </c:strRef>
          </c:tx>
          <c:spPr>
            <a:blipFill rotWithShape="1">
              <a:blip xmlns:r="http://schemas.openxmlformats.org/officeDocument/2006/relationships" r:embed="rId4">
                <a:duotone>
                  <a:schemeClr val="accent3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graph'!$B$107:$Q$107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graph'!$B$110:$Q$110</c:f>
              <c:numCache>
                <c:formatCode>0_ </c:formatCode>
                <c:ptCount val="16"/>
                <c:pt idx="0">
                  <c:v>-543.66519295563501</c:v>
                </c:pt>
                <c:pt idx="1">
                  <c:v>-420.04351373479602</c:v>
                </c:pt>
                <c:pt idx="2">
                  <c:v>-296.42183451395698</c:v>
                </c:pt>
                <c:pt idx="3">
                  <c:v>-172.800155293118</c:v>
                </c:pt>
                <c:pt idx="4">
                  <c:v>-49.1784760722797</c:v>
                </c:pt>
                <c:pt idx="5">
                  <c:v>74.443203148558197</c:v>
                </c:pt>
                <c:pt idx="6">
                  <c:v>198.064882369397</c:v>
                </c:pt>
                <c:pt idx="7">
                  <c:v>321.68656159023601</c:v>
                </c:pt>
                <c:pt idx="8">
                  <c:v>692.55159925275302</c:v>
                </c:pt>
                <c:pt idx="9">
                  <c:v>1243.3523030492499</c:v>
                </c:pt>
                <c:pt idx="10">
                  <c:v>1861.4606991534499</c:v>
                </c:pt>
                <c:pt idx="11">
                  <c:v>2479.5690952576401</c:v>
                </c:pt>
                <c:pt idx="12">
                  <c:v>3030.36979905415</c:v>
                </c:pt>
                <c:pt idx="13">
                  <c:v>3648.47819515834</c:v>
                </c:pt>
                <c:pt idx="14">
                  <c:v>4266.5865912625304</c:v>
                </c:pt>
                <c:pt idx="15">
                  <c:v>4817.3872950590303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FC-4046-B7DE-21539B4D5E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40"/>
        <c:axId val="346977024"/>
        <c:axId val="754942344"/>
      </c:barChart>
      <c:catAx>
        <c:axId val="34697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  <a:alpha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754942344"/>
        <c:crosses val="autoZero"/>
        <c:auto val="1"/>
        <c:lblAlgn val="ctr"/>
        <c:lblOffset val="100"/>
        <c:noMultiLvlLbl val="0"/>
      </c:catAx>
      <c:valAx>
        <c:axId val="754942344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34697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7634461659923002"/>
          <c:y val="0.9471725421275719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en-US" altLang="zh-CN" sz="1400" b="0" i="0" u="none" strike="noStrike" baseline="0">
                <a:effectLst/>
                <a:sym typeface="微软雅黑" panose="020B0503020204020204" charset="-122"/>
              </a:rPr>
              <a:t>CDDS Cost Savings per year of treatment</a:t>
            </a:r>
            <a:r>
              <a:rPr lang="en-US" altLang="zh-CN" sz="1400" b="0" i="0" u="none" strike="noStrike" baseline="0">
                <a:sym typeface="微软雅黑" panose="020B0503020204020204" charset="-122"/>
              </a:rPr>
              <a:t> 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 graph'!$A$120</c:f>
              <c:strCache>
                <c:ptCount val="1"/>
                <c:pt idx="0">
                  <c:v>Scenario 1</c:v>
                </c:pt>
              </c:strCache>
            </c:strRef>
          </c:tx>
          <c:spPr>
            <a:blipFill rotWithShape="1">
              <a:blip xmlns:r="http://schemas.openxmlformats.org/officeDocument/2006/relationships" r:embed="rId4">
                <a:duotone>
                  <a:schemeClr val="accent1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0" vertOverflow="clip" horzOverflow="clip" vert="horz" wrap="square" lIns="36576" tIns="18288" rIns="36576" bIns="18288" anchor="ctr" anchorCtr="1" forceAA="0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graph'!$B$119:$Q$119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graph'!$B$120:$Q$120</c:f>
              <c:numCache>
                <c:formatCode>0_ </c:formatCode>
                <c:ptCount val="16"/>
                <c:pt idx="0">
                  <c:v>-59815.206868824702</c:v>
                </c:pt>
                <c:pt idx="1">
                  <c:v>716.423714743613</c:v>
                </c:pt>
                <c:pt idx="2">
                  <c:v>61248.0542983122</c:v>
                </c:pt>
                <c:pt idx="3">
                  <c:v>121779.68488188001</c:v>
                </c:pt>
                <c:pt idx="4">
                  <c:v>182311.31546544901</c:v>
                </c:pt>
                <c:pt idx="5">
                  <c:v>242842.94604901699</c:v>
                </c:pt>
                <c:pt idx="6">
                  <c:v>303374.57663258602</c:v>
                </c:pt>
                <c:pt idx="7">
                  <c:v>363906.20721615403</c:v>
                </c:pt>
                <c:pt idx="8">
                  <c:v>545501.09896685905</c:v>
                </c:pt>
                <c:pt idx="9">
                  <c:v>827159.25188470096</c:v>
                </c:pt>
                <c:pt idx="10">
                  <c:v>1129817.4048025401</c:v>
                </c:pt>
                <c:pt idx="11">
                  <c:v>1432475.5577203899</c:v>
                </c:pt>
                <c:pt idx="12">
                  <c:v>1714133.71063823</c:v>
                </c:pt>
                <c:pt idx="13">
                  <c:v>2016791.86355607</c:v>
                </c:pt>
                <c:pt idx="14">
                  <c:v>2319450.0164739098</c:v>
                </c:pt>
                <c:pt idx="15">
                  <c:v>2601108.1693917499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2-7D4B-971A-08CAF1419BD0}"/>
            </c:ext>
          </c:extLst>
        </c:ser>
        <c:ser>
          <c:idx val="1"/>
          <c:order val="1"/>
          <c:tx>
            <c:strRef>
              <c:f>'Results graph'!$A$121</c:f>
              <c:strCache>
                <c:ptCount val="1"/>
                <c:pt idx="0">
                  <c:v>Scenario 2</c:v>
                </c:pt>
              </c:strCache>
            </c:strRef>
          </c:tx>
          <c:spPr>
            <a:blipFill rotWithShape="1">
              <a:blip xmlns:r="http://schemas.openxmlformats.org/officeDocument/2006/relationships" r:embed="rId4">
                <a:duotone>
                  <a:schemeClr val="accent2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clip" horzOverflow="clip" vert="horz" wrap="square" lIns="36576" tIns="18288" rIns="36576" bIns="18288" anchor="ctr" anchorCtr="1" forceAA="0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graph'!$B$119:$Q$119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graph'!$B$121:$Q$121</c:f>
              <c:numCache>
                <c:formatCode>0_ </c:formatCode>
                <c:ptCount val="16"/>
                <c:pt idx="0">
                  <c:v>77538.869590096394</c:v>
                </c:pt>
                <c:pt idx="1">
                  <c:v>165541.31546544901</c:v>
                </c:pt>
                <c:pt idx="2">
                  <c:v>253543.76134080099</c:v>
                </c:pt>
                <c:pt idx="3">
                  <c:v>341546.20721615403</c:v>
                </c:pt>
                <c:pt idx="4">
                  <c:v>429548.65309150598</c:v>
                </c:pt>
                <c:pt idx="5">
                  <c:v>517551.09896685899</c:v>
                </c:pt>
                <c:pt idx="6">
                  <c:v>584553.54484221095</c:v>
                </c:pt>
                <c:pt idx="7">
                  <c:v>672555.99071756401</c:v>
                </c:pt>
                <c:pt idx="8">
                  <c:v>936563.32834362204</c:v>
                </c:pt>
                <c:pt idx="9">
                  <c:v>1376575.5577203899</c:v>
                </c:pt>
                <c:pt idx="10">
                  <c:v>1795587.78709715</c:v>
                </c:pt>
                <c:pt idx="11">
                  <c:v>2235600.0164739098</c:v>
                </c:pt>
                <c:pt idx="12">
                  <c:v>2654612.2458506702</c:v>
                </c:pt>
                <c:pt idx="13">
                  <c:v>3094624.4752274398</c:v>
                </c:pt>
                <c:pt idx="14">
                  <c:v>3513636.7046042001</c:v>
                </c:pt>
                <c:pt idx="15">
                  <c:v>3953648.9339809599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2-7D4B-971A-08CAF1419BD0}"/>
            </c:ext>
          </c:extLst>
        </c:ser>
        <c:ser>
          <c:idx val="2"/>
          <c:order val="2"/>
          <c:tx>
            <c:strRef>
              <c:f>'Results graph'!$A$122</c:f>
              <c:strCache>
                <c:ptCount val="1"/>
                <c:pt idx="0">
                  <c:v>Scenario 3</c:v>
                </c:pt>
              </c:strCache>
            </c:strRef>
          </c:tx>
          <c:spPr>
            <a:blipFill rotWithShape="1">
              <a:blip xmlns:r="http://schemas.openxmlformats.org/officeDocument/2006/relationships" r:embed="rId4">
                <a:duotone>
                  <a:schemeClr val="accent3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0" vertOverflow="clip" horzOverflow="clip" vert="horz" wrap="square" lIns="36576" tIns="18288" rIns="36576" bIns="18288" anchor="ctr" anchorCtr="1" forceAA="0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graph'!$B$119:$Q$119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graph'!$B$122:$Q$122</c:f>
              <c:numCache>
                <c:formatCode>0_ </c:formatCode>
                <c:ptCount val="16"/>
                <c:pt idx="0">
                  <c:v>-169623.54020215801</c:v>
                </c:pt>
                <c:pt idx="1">
                  <c:v>-131053.576285256</c:v>
                </c:pt>
                <c:pt idx="2">
                  <c:v>-92483.612368354501</c:v>
                </c:pt>
                <c:pt idx="3">
                  <c:v>-53913.648451453199</c:v>
                </c:pt>
                <c:pt idx="4">
                  <c:v>-15343.684534551299</c:v>
                </c:pt>
                <c:pt idx="5">
                  <c:v>23226.2793823504</c:v>
                </c:pt>
                <c:pt idx="6">
                  <c:v>61796.243299252201</c:v>
                </c:pt>
                <c:pt idx="7">
                  <c:v>100366.207216154</c:v>
                </c:pt>
                <c:pt idx="8">
                  <c:v>216076.09896685899</c:v>
                </c:pt>
                <c:pt idx="9">
                  <c:v>387925.918551368</c:v>
                </c:pt>
                <c:pt idx="10">
                  <c:v>580775.73813587602</c:v>
                </c:pt>
                <c:pt idx="11">
                  <c:v>773625.55772038596</c:v>
                </c:pt>
                <c:pt idx="12">
                  <c:v>945475.37730489206</c:v>
                </c:pt>
                <c:pt idx="13">
                  <c:v>1138325.1968894</c:v>
                </c:pt>
                <c:pt idx="14">
                  <c:v>1331175.0164739101</c:v>
                </c:pt>
                <c:pt idx="15">
                  <c:v>1503024.8360584199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2-7D4B-971A-08CAF1419B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41"/>
        <c:axId val="287944248"/>
        <c:axId val="892455882"/>
      </c:barChart>
      <c:catAx>
        <c:axId val="28794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  <a:alpha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892455882"/>
        <c:crosses val="autoZero"/>
        <c:auto val="1"/>
        <c:lblAlgn val="ctr"/>
        <c:lblOffset val="100"/>
        <c:noMultiLvlLbl val="0"/>
      </c:catAx>
      <c:valAx>
        <c:axId val="892455882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28794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4850006275888001"/>
          <c:y val="0.9444152844845690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A.</a:t>
            </a:r>
            <a:r>
              <a:rPr lang="zh-CN" altLang="en-US" baseline="0"/>
              <a:t> </a:t>
            </a:r>
            <a:r>
              <a:rPr lang="en-US" altLang="zh-CN"/>
              <a:t>CDDS single treatment cost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'Results graph'!$B$148</c:f>
              <c:strCache>
                <c:ptCount val="1"/>
                <c:pt idx="0">
                  <c:v>CDDS single treatment cost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38-ED48-A1A1-01A9472918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38-ED48-A1A1-01A9472918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38-ED48-A1A1-01A9472918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38-ED48-A1A1-01A9472918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F38-ED48-A1A1-01A94729183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F38-ED48-A1A1-01A94729183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F38-ED48-A1A1-01A9472918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graph'!$A$149:$A$154</c:f>
              <c:strCache>
                <c:ptCount val="6"/>
                <c:pt idx="0">
                  <c:v>Labor Cost</c:v>
                </c:pt>
                <c:pt idx="1">
                  <c:v>Equipment Cost</c:v>
                </c:pt>
                <c:pt idx="2">
                  <c:v>Consumable Cost</c:v>
                </c:pt>
                <c:pt idx="3">
                  <c:v>Training Cost</c:v>
                </c:pt>
                <c:pt idx="4">
                  <c:v>Misoperation Cost</c:v>
                </c:pt>
                <c:pt idx="5">
                  <c:v>Storage space cost</c:v>
                </c:pt>
              </c:strCache>
            </c:strRef>
          </c:cat>
          <c:val>
            <c:numRef>
              <c:f>'Results graph'!$B$149:$B$154</c:f>
              <c:numCache>
                <c:formatCode>\¥#,##0.00</c:formatCode>
                <c:ptCount val="6"/>
                <c:pt idx="0">
                  <c:v>18.048878205128201</c:v>
                </c:pt>
                <c:pt idx="1">
                  <c:v>58.182692307692299</c:v>
                </c:pt>
                <c:pt idx="2">
                  <c:v>235.20248161709401</c:v>
                </c:pt>
                <c:pt idx="3">
                  <c:v>0.67492603550295804</c:v>
                </c:pt>
                <c:pt idx="4">
                  <c:v>5.30849358974359E-3</c:v>
                </c:pt>
                <c:pt idx="5">
                  <c:v>1.51153846153846E-2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F38-ED48-A1A1-01A94729183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B.</a:t>
            </a:r>
            <a:r>
              <a:rPr lang="zh-CN" altLang="en-US"/>
              <a:t> </a:t>
            </a:r>
            <a:r>
              <a:rPr lang="en-US" altLang="zh-CN"/>
              <a:t>SPDDS single treatment cost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'Results graph'!$C$148</c:f>
              <c:strCache>
                <c:ptCount val="1"/>
                <c:pt idx="0">
                  <c:v>SPDDS single treatment cost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A-4749-ADDA-D2DC0B056B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A-4749-ADDA-D2DC0B056B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7A-4749-ADDA-D2DC0B056B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7A-4749-ADDA-D2DC0B056B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7A-4749-ADDA-D2DC0B056B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17A-4749-ADDA-D2DC0B056B1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17A-4749-ADDA-D2DC0B056B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graph'!$A$149:$A$154</c:f>
              <c:strCache>
                <c:ptCount val="6"/>
                <c:pt idx="0">
                  <c:v>Labor Cost</c:v>
                </c:pt>
                <c:pt idx="1">
                  <c:v>Equipment Cost</c:v>
                </c:pt>
                <c:pt idx="2">
                  <c:v>Consumable Cost</c:v>
                </c:pt>
                <c:pt idx="3">
                  <c:v>Training Cost</c:v>
                </c:pt>
                <c:pt idx="4">
                  <c:v>Misoperation Cost</c:v>
                </c:pt>
                <c:pt idx="5">
                  <c:v>Storage space cost</c:v>
                </c:pt>
              </c:strCache>
            </c:strRef>
          </c:cat>
          <c:val>
            <c:numRef>
              <c:f>'Results graph'!$C$149:$C$154</c:f>
              <c:numCache>
                <c:formatCode>\¥#,##0.00</c:formatCode>
                <c:ptCount val="6"/>
                <c:pt idx="0">
                  <c:v>37.813165364583298</c:v>
                </c:pt>
                <c:pt idx="1">
                  <c:v>58.637820512820497</c:v>
                </c:pt>
                <c:pt idx="2">
                  <c:v>296.94835749287802</c:v>
                </c:pt>
                <c:pt idx="3">
                  <c:v>2.0019723865877701</c:v>
                </c:pt>
                <c:pt idx="4">
                  <c:v>2.13609467455621E-2</c:v>
                </c:pt>
                <c:pt idx="5">
                  <c:v>7.5576923076923097E-2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7A-4749-ADDA-D2DC0B056B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C.</a:t>
            </a:r>
            <a:r>
              <a:rPr lang="zh-CN" altLang="en-US"/>
              <a:t> </a:t>
            </a:r>
            <a:r>
              <a:rPr lang="en-US"/>
              <a:t>Single Treatment CDDS Cost Savings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'Results graph'!$D$148</c:f>
              <c:strCache>
                <c:ptCount val="1"/>
                <c:pt idx="0">
                  <c:v>CDDS Single Treatment Cost Savings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A7-BB46-BFB4-D2EA590B35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A7-BB46-BFB4-D2EA590B35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A7-BB46-BFB4-D2EA590B35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A7-BB46-BFB4-D2EA590B35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A7-BB46-BFB4-D2EA590B35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5A7-BB46-BFB4-D2EA590B35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5A7-BB46-BFB4-D2EA590B35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graph'!$A$149:$A$154</c:f>
              <c:strCache>
                <c:ptCount val="6"/>
                <c:pt idx="0">
                  <c:v>Labor Cost</c:v>
                </c:pt>
                <c:pt idx="1">
                  <c:v>Equipment Cost</c:v>
                </c:pt>
                <c:pt idx="2">
                  <c:v>Consumable Cost</c:v>
                </c:pt>
                <c:pt idx="3">
                  <c:v>Training Cost</c:v>
                </c:pt>
                <c:pt idx="4">
                  <c:v>Misoperation Cost</c:v>
                </c:pt>
                <c:pt idx="5">
                  <c:v>Storage space cost</c:v>
                </c:pt>
              </c:strCache>
            </c:strRef>
          </c:cat>
          <c:val>
            <c:numRef>
              <c:f>'Results graph'!$D$149:$D$154</c:f>
              <c:numCache>
                <c:formatCode>\¥#,##0.00</c:formatCode>
                <c:ptCount val="6"/>
                <c:pt idx="0">
                  <c:v>19.764287159455101</c:v>
                </c:pt>
                <c:pt idx="1">
                  <c:v>0.455128205128212</c:v>
                </c:pt>
                <c:pt idx="2">
                  <c:v>61.745875875783497</c:v>
                </c:pt>
                <c:pt idx="3">
                  <c:v>1.3270463510848101</c:v>
                </c:pt>
                <c:pt idx="4">
                  <c:v>1.6052453155818502E-2</c:v>
                </c:pt>
                <c:pt idx="5">
                  <c:v>6.0461538461538497E-2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A7-BB46-BFB4-D2EA590B358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'Results graph'!$A$32</c:f>
              <c:strCache>
                <c:ptCount val="1"/>
                <c:pt idx="0">
                  <c:v>Scenario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5032183226896604E-3"/>
                  <c:y val="-5.4150390292122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C4-8548-B53B-1573C69F2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503050405090304" pitchFamily="18" charset="0"/>
                    <a:ea typeface="+mn-ea"/>
                    <a:cs typeface="Times New Roman" panose="02020503050405090304" pitchFamily="18" charset="0"/>
                  </a:defRPr>
                </a:pPr>
                <a:endParaRPr lang="zh-CN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graph'!$B$31:$Q$31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graph'!$B$32:$Q$32</c:f>
              <c:numCache>
                <c:formatCode>0.00%</c:formatCode>
                <c:ptCount val="16"/>
                <c:pt idx="0">
                  <c:v>-4.83911753903443E-2</c:v>
                </c:pt>
                <c:pt idx="1">
                  <c:v>4.8314931846517902E-4</c:v>
                </c:pt>
                <c:pt idx="2">
                  <c:v>3.5412419187725398E-2</c:v>
                </c:pt>
                <c:pt idx="3">
                  <c:v>6.1619790413339003E-2</c:v>
                </c:pt>
                <c:pt idx="4">
                  <c:v>8.2009478758778995E-2</c:v>
                </c:pt>
                <c:pt idx="5">
                  <c:v>9.8325122784606006E-2</c:v>
                </c:pt>
                <c:pt idx="6">
                  <c:v>0.11167686103171</c:v>
                </c:pt>
                <c:pt idx="7">
                  <c:v>0.12280508032088</c:v>
                </c:pt>
                <c:pt idx="8">
                  <c:v>0.147292830960666</c:v>
                </c:pt>
                <c:pt idx="9">
                  <c:v>0.167534983867134</c:v>
                </c:pt>
                <c:pt idx="10">
                  <c:v>0.18308641022812999</c:v>
                </c:pt>
                <c:pt idx="11">
                  <c:v>0.193455678573908</c:v>
                </c:pt>
                <c:pt idx="12">
                  <c:v>0.198432098763236</c:v>
                </c:pt>
                <c:pt idx="13">
                  <c:v>0.20429191631680499</c:v>
                </c:pt>
                <c:pt idx="14">
                  <c:v>0.20884982867229099</c:v>
                </c:pt>
                <c:pt idx="15">
                  <c:v>0.21079448725394501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4-8548-B53B-1573C69F2A8F}"/>
            </c:ext>
          </c:extLst>
        </c:ser>
        <c:ser>
          <c:idx val="1"/>
          <c:order val="1"/>
          <c:tx>
            <c:strRef>
              <c:f>'Results graph'!$A$33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503050405090304" pitchFamily="18" charset="0"/>
                    <a:ea typeface="+mn-ea"/>
                    <a:cs typeface="Times New Roman" panose="02020503050405090304" pitchFamily="18" charset="0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graph'!$B$31:$Q$31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graph'!$B$33:$Q$33</c:f>
              <c:numCache>
                <c:formatCode>0.00%</c:formatCode>
                <c:ptCount val="16"/>
                <c:pt idx="0">
                  <c:v>4.4019631431405602E-2</c:v>
                </c:pt>
                <c:pt idx="1">
                  <c:v>7.8333764667202405E-2</c:v>
                </c:pt>
                <c:pt idx="2">
                  <c:v>0.10285323791338</c:v>
                </c:pt>
                <c:pt idx="3">
                  <c:v>0.121247974060141</c:v>
                </c:pt>
                <c:pt idx="4">
                  <c:v>0.13555803291284099</c:v>
                </c:pt>
                <c:pt idx="5">
                  <c:v>0.147007996910379</c:v>
                </c:pt>
                <c:pt idx="6">
                  <c:v>0.15095440227567999</c:v>
                </c:pt>
                <c:pt idx="7">
                  <c:v>0.15921478961278801</c:v>
                </c:pt>
                <c:pt idx="8">
                  <c:v>0.17739059315146599</c:v>
                </c:pt>
                <c:pt idx="9">
                  <c:v>0.19557045597338499</c:v>
                </c:pt>
                <c:pt idx="10">
                  <c:v>0.20409338228972901</c:v>
                </c:pt>
                <c:pt idx="11">
                  <c:v>0.211765173582213</c:v>
                </c:pt>
                <c:pt idx="12">
                  <c:v>0.215540356169862</c:v>
                </c:pt>
                <c:pt idx="13">
                  <c:v>0.21986388892828301</c:v>
                </c:pt>
                <c:pt idx="14">
                  <c:v>0.221900543726854</c:v>
                </c:pt>
                <c:pt idx="15">
                  <c:v>0.22472355231652499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4-8548-B53B-1573C69F2A8F}"/>
            </c:ext>
          </c:extLst>
        </c:ser>
        <c:ser>
          <c:idx val="2"/>
          <c:order val="2"/>
          <c:tx>
            <c:strRef>
              <c:f>'Results graph'!$A$34</c:f>
              <c:strCache>
                <c:ptCount val="1"/>
                <c:pt idx="0">
                  <c:v>Scenario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4.9639711769421395E-4"/>
                  <c:y val="6.2732726590994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4-8548-B53B-1573C69F2A8F}"/>
                </c:ext>
              </c:extLst>
            </c:dLbl>
            <c:dLbl>
              <c:idx val="5"/>
              <c:layout>
                <c:manualLayout>
                  <c:x val="-5.7025778102797204E-3"/>
                  <c:y val="-5.631489245662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4-8548-B53B-1573C69F2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503050405090304" pitchFamily="18" charset="0"/>
                    <a:ea typeface="+mn-ea"/>
                    <a:cs typeface="Times New Roman" panose="02020503050405090304" pitchFamily="18" charset="0"/>
                  </a:defRPr>
                </a:pPr>
                <a:endParaRPr lang="zh-CN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'Results graph'!$B$31:$Q$31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</c:numCache>
            </c:numRef>
          </c:cat>
          <c:val>
            <c:numRef>
              <c:f>'Results graph'!$B$34:$Q$34</c:f>
              <c:numCache>
                <c:formatCode>0.00%</c:formatCode>
                <c:ptCount val="16"/>
                <c:pt idx="0">
                  <c:v>-0.150551199649302</c:v>
                </c:pt>
                <c:pt idx="1">
                  <c:v>-9.6965500041036198E-2</c:v>
                </c:pt>
                <c:pt idx="2">
                  <c:v>-5.8667099318421803E-2</c:v>
                </c:pt>
                <c:pt idx="3">
                  <c:v>-2.9930764953894899E-2</c:v>
                </c:pt>
                <c:pt idx="4">
                  <c:v>-7.57285089797919E-3</c:v>
                </c:pt>
                <c:pt idx="5">
                  <c:v>1.0318164465314E-2</c:v>
                </c:pt>
                <c:pt idx="6">
                  <c:v>2.4959365988324399E-2</c:v>
                </c:pt>
                <c:pt idx="7">
                  <c:v>3.7162497782586401E-2</c:v>
                </c:pt>
                <c:pt idx="8">
                  <c:v>6.4016207791646698E-2</c:v>
                </c:pt>
                <c:pt idx="9">
                  <c:v>8.62122797800772E-2</c:v>
                </c:pt>
                <c:pt idx="10">
                  <c:v>0.10326765253661099</c:v>
                </c:pt>
                <c:pt idx="11">
                  <c:v>0.114639887541583</c:v>
                </c:pt>
                <c:pt idx="12">
                  <c:v>0.120096418303502</c:v>
                </c:pt>
                <c:pt idx="13">
                  <c:v>0.12652329529756401</c:v>
                </c:pt>
                <c:pt idx="14">
                  <c:v>0.13152231013680299</c:v>
                </c:pt>
                <c:pt idx="15">
                  <c:v>0.13365433664479701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C4-8548-B53B-1573C69F2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5250656"/>
        <c:axId val="1745207664"/>
      </c:lineChart>
      <c:catAx>
        <c:axId val="17452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45207664"/>
        <c:crosses val="autoZero"/>
        <c:auto val="1"/>
        <c:lblAlgn val="ctr"/>
        <c:lblOffset val="100"/>
        <c:noMultiLvlLbl val="0"/>
      </c:catAx>
      <c:valAx>
        <c:axId val="174520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503050405090304" pitchFamily="18" charset="0"/>
                <a:ea typeface="+mn-ea"/>
                <a:cs typeface="Times New Roman" panose="02020503050405090304" pitchFamily="18" charset="0"/>
              </a:defRPr>
            </a:pPr>
            <a:endParaRPr lang="zh-CN"/>
          </a:p>
        </c:txPr>
        <c:crossAx val="17452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503050405090304" pitchFamily="18" charset="0"/>
              <a:ea typeface="宋体" pitchFamily="7" charset="-122"/>
              <a:cs typeface="Times New Roman" panose="0202050305040509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658806</xdr:colOff>
      <xdr:row>73</xdr:row>
      <xdr:rowOff>137296</xdr:rowOff>
    </xdr:from>
    <xdr:to>
      <xdr:col>29</xdr:col>
      <xdr:colOff>897591</xdr:colOff>
      <xdr:row>94</xdr:row>
      <xdr:rowOff>152950</xdr:rowOff>
    </xdr:to>
    <xdr:graphicFrame macro="">
      <xdr:nvGraphicFramePr>
        <xdr:cNvPr id="26" name="图表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14</xdr:col>
      <xdr:colOff>658806</xdr:colOff>
      <xdr:row>94</xdr:row>
      <xdr:rowOff>177109</xdr:rowOff>
    </xdr:from>
    <xdr:to>
      <xdr:col>29</xdr:col>
      <xdr:colOff>897591</xdr:colOff>
      <xdr:row>117</xdr:row>
      <xdr:rowOff>4523</xdr:rowOff>
    </xdr:to>
    <xdr:graphicFrame macro="">
      <xdr:nvGraphicFramePr>
        <xdr:cNvPr id="27" name="图表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14</xdr:col>
      <xdr:colOff>658806</xdr:colOff>
      <xdr:row>117</xdr:row>
      <xdr:rowOff>13237</xdr:rowOff>
    </xdr:from>
    <xdr:to>
      <xdr:col>29</xdr:col>
      <xdr:colOff>897591</xdr:colOff>
      <xdr:row>138</xdr:row>
      <xdr:rowOff>151597</xdr:rowOff>
    </xdr:to>
    <xdr:graphicFrame macro="">
      <xdr:nvGraphicFramePr>
        <xdr:cNvPr id="28" name="图表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156</xdr:row>
      <xdr:rowOff>201340</xdr:rowOff>
    </xdr:from>
    <xdr:to>
      <xdr:col>2</xdr:col>
      <xdr:colOff>824571</xdr:colOff>
      <xdr:row>184</xdr:row>
      <xdr:rowOff>50179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A3BA8DF-F525-4E45-88CA-A97A14726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981712</xdr:colOff>
      <xdr:row>156</xdr:row>
      <xdr:rowOff>201340</xdr:rowOff>
    </xdr:from>
    <xdr:to>
      <xdr:col>6</xdr:col>
      <xdr:colOff>1930185</xdr:colOff>
      <xdr:row>184</xdr:row>
      <xdr:rowOff>50179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C9B4B3A7-FDD4-B148-944F-30D15C343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2087325</xdr:colOff>
      <xdr:row>156</xdr:row>
      <xdr:rowOff>201340</xdr:rowOff>
    </xdr:from>
    <xdr:to>
      <xdr:col>12</xdr:col>
      <xdr:colOff>108603</xdr:colOff>
      <xdr:row>184</xdr:row>
      <xdr:rowOff>50179</xdr:rowOff>
    </xdr:to>
    <xdr:graphicFrame macro="">
      <xdr:nvGraphicFramePr>
        <xdr:cNvPr id="24" name="图表 23">
          <a:extLst>
            <a:ext uri="{FF2B5EF4-FFF2-40B4-BE49-F238E27FC236}">
              <a16:creationId xmlns:a16="http://schemas.microsoft.com/office/drawing/2014/main" id="{B5D7DACD-0CFA-FB42-9D58-A62898855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660400</xdr:colOff>
      <xdr:row>34</xdr:row>
      <xdr:rowOff>84667</xdr:rowOff>
    </xdr:from>
    <xdr:to>
      <xdr:col>16</xdr:col>
      <xdr:colOff>42333</xdr:colOff>
      <xdr:row>70</xdr:row>
      <xdr:rowOff>76201</xdr:rowOff>
    </xdr:to>
    <xdr:graphicFrame macro="">
      <xdr:nvGraphicFramePr>
        <xdr:cNvPr id="29" name="图表 28">
          <a:extLst>
            <a:ext uri="{FF2B5EF4-FFF2-40B4-BE49-F238E27FC236}">
              <a16:creationId xmlns:a16="http://schemas.microsoft.com/office/drawing/2014/main" id="{FEEB0D38-3A5B-254C-A237-C29DA0FA1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自定义 44">
    <a:dk1>
      <a:srgbClr val="000000"/>
    </a:dk1>
    <a:lt1>
      <a:srgbClr val="FFFFFF"/>
    </a:lt1>
    <a:dk2>
      <a:srgbClr val="44546A"/>
    </a:dk2>
    <a:lt2>
      <a:srgbClr val="E7E6E6"/>
    </a:lt2>
    <a:accent1>
      <a:srgbClr val="C5DE69"/>
    </a:accent1>
    <a:accent2>
      <a:srgbClr val="C2D7F8"/>
    </a:accent2>
    <a:accent3>
      <a:srgbClr val="FFC36B"/>
    </a:accent3>
    <a:accent4>
      <a:srgbClr val="FFB3BC"/>
    </a:accent4>
    <a:accent5>
      <a:srgbClr val="A8B2FB"/>
    </a:accent5>
    <a:accent6>
      <a:srgbClr val="9ECCFF"/>
    </a:accent6>
    <a:hlink>
      <a:srgbClr val="0026E5"/>
    </a:hlink>
    <a:folHlink>
      <a:srgbClr val="7E1FAD"/>
    </a:folHlink>
  </a:clrScheme>
  <a:fontScheme name="Office">
    <a:majorFont>
      <a:latin typeface="Aptos Display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ptos Narrow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彩色2">
    <a:dk1>
      <a:srgbClr val="000000"/>
    </a:dk1>
    <a:lt1>
      <a:srgbClr val="FFFFFF"/>
    </a:lt1>
    <a:dk2>
      <a:srgbClr val="44546A"/>
    </a:dk2>
    <a:lt2>
      <a:srgbClr val="E7E6E6"/>
    </a:lt2>
    <a:accent1>
      <a:srgbClr val="FF5958"/>
    </a:accent1>
    <a:accent2>
      <a:srgbClr val="FABB00"/>
    </a:accent2>
    <a:accent3>
      <a:srgbClr val="AC68FB"/>
    </a:accent3>
    <a:accent4>
      <a:srgbClr val="F75090"/>
    </a:accent4>
    <a:accent5>
      <a:srgbClr val="FF920C"/>
    </a:accent5>
    <a:accent6>
      <a:srgbClr val="ABD500"/>
    </a:accent6>
    <a:hlink>
      <a:srgbClr val="0026E5"/>
    </a:hlink>
    <a:folHlink>
      <a:srgbClr val="7E1FAD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自定义 15">
    <a:dk1>
      <a:srgbClr val="000000"/>
    </a:dk1>
    <a:lt1>
      <a:srgbClr val="FFFFFF"/>
    </a:lt1>
    <a:dk2>
      <a:srgbClr val="44546A"/>
    </a:dk2>
    <a:lt2>
      <a:srgbClr val="E7E6E6"/>
    </a:lt2>
    <a:accent1>
      <a:srgbClr val="FFC000"/>
    </a:accent1>
    <a:accent2>
      <a:srgbClr val="9CCC68"/>
    </a:accent2>
    <a:accent3>
      <a:srgbClr val="F06E65"/>
    </a:accent3>
    <a:accent4>
      <a:srgbClr val="9B91FF"/>
    </a:accent4>
    <a:accent5>
      <a:srgbClr val="5BC5E9"/>
    </a:accent5>
    <a:accent6>
      <a:srgbClr val="53B6B6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243"/>
  <sheetViews>
    <sheetView tabSelected="1" workbookViewId="0">
      <selection activeCell="D18" sqref="D18"/>
    </sheetView>
  </sheetViews>
  <sheetFormatPr baseColWidth="10" defaultColWidth="10.83203125" defaultRowHeight="18"/>
  <cols>
    <col min="1" max="1" width="31.83203125" style="163" customWidth="1"/>
    <col min="2" max="2" width="25" style="163" customWidth="1"/>
    <col min="3" max="3" width="24.83203125" style="163" customWidth="1"/>
    <col min="4" max="5" width="26.1640625" style="163" customWidth="1"/>
    <col min="6" max="6" width="22" style="163" customWidth="1"/>
    <col min="7" max="7" width="18.83203125" style="163" customWidth="1"/>
    <col min="8" max="9" width="25" style="163" customWidth="1"/>
    <col min="10" max="10" width="27.1640625" style="163" customWidth="1"/>
    <col min="11" max="12" width="12.83203125" style="163" customWidth="1"/>
    <col min="13" max="13" width="17.83203125" style="163" customWidth="1"/>
    <col min="14" max="15" width="23.83203125" style="163" customWidth="1"/>
    <col min="16" max="16" width="26.6640625" style="163" customWidth="1"/>
    <col min="17" max="17" width="15.5" style="163" customWidth="1"/>
    <col min="18" max="16384" width="10.83203125" style="163"/>
  </cols>
  <sheetData>
    <row r="1" spans="1:23">
      <c r="A1" s="216"/>
      <c r="B1" s="163" t="s">
        <v>0</v>
      </c>
    </row>
    <row r="2" spans="1:23">
      <c r="A2" s="217"/>
      <c r="B2" s="163" t="s">
        <v>1</v>
      </c>
    </row>
    <row r="3" spans="1:23">
      <c r="A3" s="172" t="s">
        <v>2</v>
      </c>
      <c r="B3" s="218" t="s">
        <v>3</v>
      </c>
      <c r="D3" s="219" t="s">
        <v>3</v>
      </c>
      <c r="E3" s="219" t="s">
        <v>4</v>
      </c>
      <c r="F3" s="219" t="s">
        <v>5</v>
      </c>
    </row>
    <row r="4" spans="1:23">
      <c r="A4" s="172" t="s">
        <v>6</v>
      </c>
      <c r="B4" s="220">
        <v>50</v>
      </c>
      <c r="D4" s="194">
        <v>50</v>
      </c>
      <c r="E4" s="194">
        <v>45</v>
      </c>
      <c r="F4" s="194">
        <v>40</v>
      </c>
      <c r="G4" s="194">
        <v>35</v>
      </c>
      <c r="H4" s="194">
        <v>30</v>
      </c>
      <c r="I4" s="194">
        <v>25</v>
      </c>
      <c r="J4" s="194">
        <v>20</v>
      </c>
      <c r="K4" s="194">
        <v>15</v>
      </c>
      <c r="L4" s="163">
        <v>12</v>
      </c>
      <c r="M4" s="163">
        <v>11</v>
      </c>
      <c r="N4" s="163">
        <v>10</v>
      </c>
      <c r="O4" s="194">
        <v>9</v>
      </c>
      <c r="P4" s="163">
        <v>8</v>
      </c>
      <c r="Q4" s="163">
        <v>7</v>
      </c>
      <c r="R4" s="163">
        <v>6</v>
      </c>
      <c r="S4" s="194">
        <v>5</v>
      </c>
      <c r="T4" s="163">
        <v>4</v>
      </c>
      <c r="U4" s="163">
        <v>3</v>
      </c>
      <c r="V4" s="163">
        <v>2</v>
      </c>
      <c r="W4" s="163">
        <v>1</v>
      </c>
    </row>
    <row r="5" spans="1:23">
      <c r="A5" s="172" t="s">
        <v>7</v>
      </c>
      <c r="B5" s="221">
        <f>IF(B3=E3,B4*3,B4*2)</f>
        <v>100</v>
      </c>
    </row>
    <row r="6" spans="1:23">
      <c r="A6" s="172"/>
      <c r="B6" s="172"/>
    </row>
    <row r="7" spans="1:23">
      <c r="D7"/>
    </row>
    <row r="8" spans="1:23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</row>
    <row r="9" spans="1:23">
      <c r="B9" s="166" t="s">
        <v>8</v>
      </c>
      <c r="C9" s="166" t="s">
        <v>9</v>
      </c>
      <c r="D9" s="177"/>
      <c r="E9" s="177"/>
      <c r="F9" s="177"/>
      <c r="G9" s="177"/>
      <c r="H9" s="166" t="s">
        <v>8</v>
      </c>
      <c r="I9" s="166" t="s">
        <v>9</v>
      </c>
      <c r="J9" s="177"/>
      <c r="K9" s="177"/>
      <c r="L9" s="177"/>
      <c r="M9" s="177"/>
      <c r="N9" s="166" t="s">
        <v>8</v>
      </c>
      <c r="O9" s="166" t="s">
        <v>9</v>
      </c>
      <c r="P9" s="177"/>
    </row>
    <row r="10" spans="1:23">
      <c r="A10" s="166" t="s">
        <v>10</v>
      </c>
      <c r="B10" s="222">
        <f>B5</f>
        <v>100</v>
      </c>
      <c r="C10" s="222">
        <f>B5</f>
        <v>100</v>
      </c>
      <c r="D10" s="177"/>
      <c r="E10" s="177"/>
      <c r="F10" s="177"/>
      <c r="G10" s="177"/>
      <c r="H10" s="222">
        <f>B10</f>
        <v>100</v>
      </c>
      <c r="I10" s="222">
        <f>C10</f>
        <v>100</v>
      </c>
      <c r="J10" s="177"/>
      <c r="K10" s="177"/>
      <c r="L10" s="177"/>
      <c r="M10" s="177"/>
      <c r="N10" s="222">
        <f>B10</f>
        <v>100</v>
      </c>
      <c r="O10" s="222">
        <f>C10</f>
        <v>100</v>
      </c>
      <c r="P10" s="177"/>
    </row>
    <row r="11" spans="1:23">
      <c r="A11" s="165" t="s">
        <v>11</v>
      </c>
      <c r="B11" s="164" t="s">
        <v>12</v>
      </c>
      <c r="C11" s="164" t="s">
        <v>13</v>
      </c>
      <c r="D11" s="164" t="s">
        <v>14</v>
      </c>
      <c r="E11" s="164" t="s">
        <v>15</v>
      </c>
      <c r="G11" s="165" t="s">
        <v>11</v>
      </c>
      <c r="H11" s="164" t="s">
        <v>16</v>
      </c>
      <c r="I11" s="164" t="s">
        <v>17</v>
      </c>
      <c r="J11" s="164" t="s">
        <v>18</v>
      </c>
      <c r="K11" s="164" t="s">
        <v>15</v>
      </c>
      <c r="L11" s="177"/>
      <c r="M11" s="165" t="s">
        <v>11</v>
      </c>
      <c r="N11" s="164" t="s">
        <v>19</v>
      </c>
      <c r="O11" s="164" t="s">
        <v>20</v>
      </c>
      <c r="P11" s="164" t="s">
        <v>21</v>
      </c>
      <c r="Q11" s="164" t="s">
        <v>15</v>
      </c>
    </row>
    <row r="12" spans="1:23">
      <c r="A12" s="168" t="s">
        <v>22</v>
      </c>
      <c r="B12" s="196">
        <f>' labor costs'!H114</f>
        <v>18.048878205128201</v>
      </c>
      <c r="C12" s="196">
        <f>' labor costs'!Q114</f>
        <v>37.813165364583298</v>
      </c>
      <c r="D12" s="196">
        <f>' labor costs'!N118</f>
        <v>19.764287159455101</v>
      </c>
      <c r="E12" s="197">
        <f>D12/C12</f>
        <v>0.52268269447674498</v>
      </c>
      <c r="G12" s="168" t="s">
        <v>22</v>
      </c>
      <c r="H12" s="196">
        <f>' labor costs'!H115</f>
        <v>1804.8878205128201</v>
      </c>
      <c r="I12" s="196">
        <f>' labor costs'!Q115</f>
        <v>3781.3165364583301</v>
      </c>
      <c r="J12" s="196">
        <f>' labor costs'!N119</f>
        <v>1976.42871594551</v>
      </c>
      <c r="K12" s="197">
        <f>J12/I12</f>
        <v>0.52268269447674498</v>
      </c>
      <c r="L12" s="177"/>
      <c r="M12" s="168" t="s">
        <v>22</v>
      </c>
      <c r="N12" s="196">
        <f>' labor costs'!H116</f>
        <v>563125</v>
      </c>
      <c r="O12" s="196">
        <f>' labor costs'!Q116</f>
        <v>1179770.7593749999</v>
      </c>
      <c r="P12" s="196">
        <f>' labor costs'!N120</f>
        <v>616645.75937500002</v>
      </c>
      <c r="Q12" s="197">
        <f>P12/O12</f>
        <v>0.52268269447674498</v>
      </c>
    </row>
    <row r="13" spans="1:23">
      <c r="A13" s="168" t="s">
        <v>23</v>
      </c>
      <c r="B13" s="196">
        <f>'equipment costs'!D33</f>
        <v>58.182692307692299</v>
      </c>
      <c r="C13" s="196">
        <f>'equipment costs'!I33</f>
        <v>58.637820512820497</v>
      </c>
      <c r="D13" s="196">
        <f>'equipment costs'!I37</f>
        <v>0.455128205128212</v>
      </c>
      <c r="E13" s="197">
        <f t="shared" ref="E13:E15" si="0">D13/C13</f>
        <v>7.7616835200875599E-3</v>
      </c>
      <c r="G13" s="168" t="s">
        <v>23</v>
      </c>
      <c r="H13" s="196">
        <f>'equipment costs'!D34</f>
        <v>5818.2692307692296</v>
      </c>
      <c r="I13" s="196">
        <f>'equipment costs'!I34</f>
        <v>5863.7820512820499</v>
      </c>
      <c r="J13" s="196">
        <f>'equipment costs'!I38</f>
        <v>45.5128205128212</v>
      </c>
      <c r="K13" s="197">
        <f t="shared" ref="K13:K20" si="1">J13/I13</f>
        <v>7.7616835200875799E-3</v>
      </c>
      <c r="L13" s="177"/>
      <c r="M13" s="168" t="s">
        <v>23</v>
      </c>
      <c r="N13" s="196">
        <f>'equipment costs'!D35</f>
        <v>1815300</v>
      </c>
      <c r="O13" s="196">
        <f>'equipment costs'!I35</f>
        <v>1829500</v>
      </c>
      <c r="P13" s="196">
        <f>'equipment costs'!I39</f>
        <v>14200</v>
      </c>
      <c r="Q13" s="197">
        <f t="shared" ref="Q13:Q20" si="2">P13/O13</f>
        <v>7.7616835200874602E-3</v>
      </c>
    </row>
    <row r="14" spans="1:23">
      <c r="A14" s="168" t="s">
        <v>24</v>
      </c>
      <c r="B14" s="196">
        <f>'consumable costs'!E75</f>
        <v>235.20248161709401</v>
      </c>
      <c r="C14" s="196">
        <f>'consumable costs'!K75</f>
        <v>296.94835749287802</v>
      </c>
      <c r="D14" s="196">
        <f>'consumable costs'!K81</f>
        <v>61.745875875783497</v>
      </c>
      <c r="E14" s="197">
        <f t="shared" si="0"/>
        <v>0.20793472776580199</v>
      </c>
      <c r="G14" s="168" t="s">
        <v>24</v>
      </c>
      <c r="H14" s="196">
        <f>'consumable costs'!E76</f>
        <v>23520.248161709402</v>
      </c>
      <c r="I14" s="196">
        <f>'consumable costs'!K76</f>
        <v>29694.835749287799</v>
      </c>
      <c r="J14" s="196">
        <f>'consumable costs'!K82</f>
        <v>6174.5875875783504</v>
      </c>
      <c r="K14" s="197">
        <f t="shared" si="1"/>
        <v>0.20793472776580199</v>
      </c>
      <c r="L14" s="177"/>
      <c r="M14" s="168" t="s">
        <v>24</v>
      </c>
      <c r="N14" s="196">
        <f>'consumable costs'!E77</f>
        <v>7338317.4264533296</v>
      </c>
      <c r="O14" s="196">
        <f>'consumable costs'!K77</f>
        <v>9264788.7537777796</v>
      </c>
      <c r="P14" s="196">
        <f>'consumable costs'!K83</f>
        <v>1926471.32732444</v>
      </c>
      <c r="Q14" s="197">
        <f t="shared" si="2"/>
        <v>0.20793472776580199</v>
      </c>
    </row>
    <row r="15" spans="1:23">
      <c r="A15" s="171" t="s">
        <v>25</v>
      </c>
      <c r="B15" s="204">
        <f>'indirect costs'!E6</f>
        <v>0.67492603550295804</v>
      </c>
      <c r="C15" s="204">
        <f>'indirect costs'!K6</f>
        <v>2.0019723865877701</v>
      </c>
      <c r="D15" s="204">
        <f>'indirect costs'!K10</f>
        <v>1.3270463510848101</v>
      </c>
      <c r="E15" s="197">
        <f t="shared" si="0"/>
        <v>0.66286945812807896</v>
      </c>
      <c r="G15" s="171" t="s">
        <v>25</v>
      </c>
      <c r="H15" s="196">
        <f>'indirect costs'!E5</f>
        <v>67.492603550295897</v>
      </c>
      <c r="I15" s="196">
        <f>'indirect costs'!K5</f>
        <v>200.197238658777</v>
      </c>
      <c r="J15" s="196">
        <f>'indirect costs'!K9</f>
        <v>132.704635108481</v>
      </c>
      <c r="K15" s="197">
        <f t="shared" si="1"/>
        <v>0.66286945812807896</v>
      </c>
      <c r="L15" s="177"/>
      <c r="M15" s="171" t="s">
        <v>25</v>
      </c>
      <c r="N15" s="204">
        <f>'indirect costs'!E4</f>
        <v>21057.692307692301</v>
      </c>
      <c r="O15" s="204">
        <f>'indirect costs'!K4</f>
        <v>62461.538461538497</v>
      </c>
      <c r="P15" s="225">
        <f>'indirect costs'!K8</f>
        <v>41403.8461538462</v>
      </c>
      <c r="Q15" s="197">
        <f t="shared" si="2"/>
        <v>0.66286945812807896</v>
      </c>
    </row>
    <row r="16" spans="1:23">
      <c r="A16" s="171" t="s">
        <v>26</v>
      </c>
      <c r="B16" s="204">
        <f>'indirect costs'!E17</f>
        <v>5.30849358974359E-3</v>
      </c>
      <c r="C16" s="204">
        <f>'indirect costs'!K17</f>
        <v>2.13609467455621E-2</v>
      </c>
      <c r="D16" s="204">
        <f>'indirect costs'!K21</f>
        <v>1.6052453155818502E-2</v>
      </c>
      <c r="E16" s="197">
        <f t="shared" ref="E16:E20" si="3">D16/C16</f>
        <v>0.751486034164358</v>
      </c>
      <c r="G16" s="171" t="s">
        <v>26</v>
      </c>
      <c r="H16" s="196">
        <f>'indirect costs'!E16</f>
        <v>0.53084935897435903</v>
      </c>
      <c r="I16" s="196">
        <f>'indirect costs'!K16</f>
        <v>2.1360946745562099</v>
      </c>
      <c r="J16" s="196">
        <f>'indirect costs'!K20</f>
        <v>1.60524531558185</v>
      </c>
      <c r="K16" s="197">
        <f t="shared" ref="K16:K17" si="4">J16/I16</f>
        <v>0.751486034164358</v>
      </c>
      <c r="L16" s="177"/>
      <c r="M16" s="171" t="s">
        <v>26</v>
      </c>
      <c r="N16" s="204">
        <f>'indirect costs'!E15</f>
        <v>165.625</v>
      </c>
      <c r="O16" s="204">
        <f>'indirect costs'!K15</f>
        <v>666.461538461538</v>
      </c>
      <c r="P16" s="204">
        <f>'indirect costs'!K19</f>
        <v>500.836538461538</v>
      </c>
      <c r="Q16" s="197">
        <f t="shared" ref="Q16:Q17" si="5">P16/O16</f>
        <v>0.751486034164358</v>
      </c>
    </row>
    <row r="17" spans="1:17">
      <c r="A17" s="171" t="s">
        <v>27</v>
      </c>
      <c r="B17" s="204">
        <f>'indirect costs'!E26</f>
        <v>1.51153846153846E-2</v>
      </c>
      <c r="C17" s="204">
        <f>'indirect costs'!K26</f>
        <v>7.5576923076923097E-2</v>
      </c>
      <c r="D17" s="204">
        <f>'indirect costs'!K30</f>
        <v>6.0461538461538497E-2</v>
      </c>
      <c r="E17" s="197">
        <f t="shared" si="3"/>
        <v>0.8</v>
      </c>
      <c r="G17" s="171" t="s">
        <v>27</v>
      </c>
      <c r="H17" s="196">
        <f>'indirect costs'!E25</f>
        <v>1.5115384615384599</v>
      </c>
      <c r="I17" s="196">
        <f>'indirect costs'!K25</f>
        <v>7.5576923076923102</v>
      </c>
      <c r="J17" s="196">
        <f>'indirect costs'!K29</f>
        <v>6.0461538461538504</v>
      </c>
      <c r="K17" s="197">
        <f t="shared" si="4"/>
        <v>0.8</v>
      </c>
      <c r="L17" s="177"/>
      <c r="M17" s="171" t="s">
        <v>27</v>
      </c>
      <c r="N17" s="204">
        <f>'indirect costs'!E24</f>
        <v>471.6</v>
      </c>
      <c r="O17" s="204">
        <f>'indirect costs'!K24</f>
        <v>2358</v>
      </c>
      <c r="P17" s="204">
        <f>'indirect costs'!K28</f>
        <v>1886.4</v>
      </c>
      <c r="Q17" s="197">
        <f t="shared" si="5"/>
        <v>0.8</v>
      </c>
    </row>
    <row r="18" spans="1:17" s="172" customFormat="1">
      <c r="A18" s="164" t="s">
        <v>28</v>
      </c>
      <c r="B18" s="205">
        <f>SUM(B12:B17)</f>
        <v>312.12940204362297</v>
      </c>
      <c r="C18" s="205">
        <f>SUM(C12:C17)</f>
        <v>395.49825362669202</v>
      </c>
      <c r="D18" s="205">
        <f>SUM(D12:D17)</f>
        <v>83.368851583069002</v>
      </c>
      <c r="E18" s="211">
        <f t="shared" si="3"/>
        <v>0.21079448725394501</v>
      </c>
      <c r="F18" s="163"/>
      <c r="G18" s="164" t="s">
        <v>28</v>
      </c>
      <c r="H18" s="205">
        <f>SUM(H12:H17)</f>
        <v>31212.940204362301</v>
      </c>
      <c r="I18" s="205">
        <f>SUM(I12:I17)</f>
        <v>39549.825362669202</v>
      </c>
      <c r="J18" s="205">
        <f>SUM(J12:J17)</f>
        <v>8336.8851583069008</v>
      </c>
      <c r="K18" s="211">
        <f t="shared" si="1"/>
        <v>0.21079448725394501</v>
      </c>
      <c r="L18" s="177"/>
      <c r="M18" s="164" t="s">
        <v>28</v>
      </c>
      <c r="N18" s="205">
        <f>SUM(N12:N17)</f>
        <v>9738437.3437610194</v>
      </c>
      <c r="O18" s="205">
        <f>SUM(O12:O17)</f>
        <v>12339545.513152801</v>
      </c>
      <c r="P18" s="205">
        <f>SUM(P12:P17)</f>
        <v>2601108.1693917499</v>
      </c>
      <c r="Q18" s="211">
        <f t="shared" si="2"/>
        <v>0.21079448725394401</v>
      </c>
    </row>
    <row r="19" spans="1:17" hidden="1">
      <c r="A19" s="213" t="s">
        <v>29</v>
      </c>
      <c r="B19" s="214">
        <f>SUM(B12:B14)</f>
        <v>311.43405212991502</v>
      </c>
      <c r="C19" s="214">
        <f>SUM(C12:C14)</f>
        <v>393.39934337028097</v>
      </c>
      <c r="D19" s="214">
        <f>SUM(D12:D14)</f>
        <v>81.965291240366795</v>
      </c>
      <c r="E19" s="197">
        <f t="shared" si="3"/>
        <v>0.20835136769208601</v>
      </c>
      <c r="G19" s="213" t="s">
        <v>29</v>
      </c>
      <c r="H19" s="214">
        <f>SUM(H12:H14)</f>
        <v>31143.4052129915</v>
      </c>
      <c r="I19" s="214">
        <f>SUM(I12:I14)</f>
        <v>39339.934337028099</v>
      </c>
      <c r="J19" s="214">
        <f>SUM(J12:J14)</f>
        <v>8196.5291240366805</v>
      </c>
      <c r="K19" s="197">
        <f t="shared" si="1"/>
        <v>0.20835136769208601</v>
      </c>
      <c r="L19" s="177"/>
      <c r="M19" s="213" t="s">
        <v>29</v>
      </c>
      <c r="N19" s="214">
        <f>SUM(N12:N14)</f>
        <v>9716742.4264533296</v>
      </c>
      <c r="O19" s="214">
        <f>SUM(O12:O14)</f>
        <v>12274059.513152801</v>
      </c>
      <c r="P19" s="214">
        <f>SUM(P12:P14)</f>
        <v>2557317.0866994401</v>
      </c>
      <c r="Q19" s="197">
        <f t="shared" si="2"/>
        <v>0.20835136769208601</v>
      </c>
    </row>
    <row r="20" spans="1:17" hidden="1">
      <c r="A20" s="213" t="s">
        <v>30</v>
      </c>
      <c r="B20" s="214">
        <f>SUM(B15:B17)</f>
        <v>0.69534991370808696</v>
      </c>
      <c r="C20" s="214">
        <f>SUM(C15:C17)</f>
        <v>2.0989102564102602</v>
      </c>
      <c r="D20" s="214">
        <f>SUM(D15:D17)</f>
        <v>1.4035603427021699</v>
      </c>
      <c r="E20" s="197">
        <f t="shared" si="3"/>
        <v>0.66870907815880798</v>
      </c>
      <c r="G20" s="213" t="s">
        <v>30</v>
      </c>
      <c r="H20" s="214">
        <f>SUM(H15:H17)</f>
        <v>69.534991370808697</v>
      </c>
      <c r="I20" s="214">
        <f>SUM(I15:I17)</f>
        <v>209.891025641026</v>
      </c>
      <c r="J20" s="214">
        <f>SUM(J15:J17)</f>
        <v>140.35603427021701</v>
      </c>
      <c r="K20" s="197">
        <f t="shared" si="1"/>
        <v>0.66870907815880798</v>
      </c>
      <c r="L20" s="177"/>
      <c r="M20" s="213" t="s">
        <v>30</v>
      </c>
      <c r="N20" s="214">
        <f>SUM(N15:N17)</f>
        <v>21694.9173076923</v>
      </c>
      <c r="O20" s="214">
        <f>SUM(O15:O17)</f>
        <v>65486</v>
      </c>
      <c r="P20" s="214">
        <f>SUM(P15:P17)</f>
        <v>43791.082692307697</v>
      </c>
      <c r="Q20" s="197">
        <f t="shared" si="2"/>
        <v>0.66870907815880798</v>
      </c>
    </row>
    <row r="21" spans="1:17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</row>
    <row r="23" spans="1:17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</row>
    <row r="24" spans="1:17" ht="19">
      <c r="A24" s="224" t="s">
        <v>3</v>
      </c>
    </row>
    <row r="25" spans="1:17">
      <c r="A25" s="166" t="s">
        <v>31</v>
      </c>
      <c r="B25" s="166" t="s">
        <v>8</v>
      </c>
      <c r="C25" s="166" t="s">
        <v>9</v>
      </c>
      <c r="D25" s="177"/>
      <c r="E25" s="177"/>
      <c r="F25" s="177"/>
      <c r="G25" s="166" t="s">
        <v>31</v>
      </c>
      <c r="H25" s="166" t="s">
        <v>8</v>
      </c>
      <c r="I25" s="166" t="s">
        <v>9</v>
      </c>
      <c r="J25" s="177"/>
      <c r="K25" s="177"/>
      <c r="L25" s="177"/>
      <c r="M25" s="166" t="s">
        <v>31</v>
      </c>
      <c r="N25" s="166" t="s">
        <v>8</v>
      </c>
      <c r="O25" s="166" t="s">
        <v>9</v>
      </c>
      <c r="P25" s="177"/>
    </row>
    <row r="26" spans="1:17">
      <c r="A26" s="172" t="s">
        <v>10</v>
      </c>
      <c r="B26" s="222">
        <v>10</v>
      </c>
      <c r="C26" s="222">
        <v>10</v>
      </c>
      <c r="D26" s="177"/>
      <c r="E26" s="210" t="s">
        <v>32</v>
      </c>
      <c r="F26" s="177"/>
      <c r="G26" s="172" t="s">
        <v>10</v>
      </c>
      <c r="H26" s="195">
        <v>10</v>
      </c>
      <c r="I26" s="195">
        <v>10</v>
      </c>
      <c r="J26" s="177"/>
      <c r="K26" s="210" t="s">
        <v>32</v>
      </c>
      <c r="L26" s="177"/>
      <c r="M26" s="172" t="s">
        <v>10</v>
      </c>
      <c r="N26" s="195">
        <v>10</v>
      </c>
      <c r="O26" s="195">
        <v>10</v>
      </c>
      <c r="P26" s="177"/>
      <c r="Q26" s="210" t="s">
        <v>32</v>
      </c>
    </row>
    <row r="27" spans="1:17">
      <c r="A27" s="165" t="s">
        <v>11</v>
      </c>
      <c r="B27" s="164" t="s">
        <v>12</v>
      </c>
      <c r="C27" s="164" t="s">
        <v>13</v>
      </c>
      <c r="D27" s="164" t="s">
        <v>14</v>
      </c>
      <c r="E27" s="164" t="s">
        <v>15</v>
      </c>
      <c r="G27" s="165" t="s">
        <v>11</v>
      </c>
      <c r="H27" s="164" t="s">
        <v>16</v>
      </c>
      <c r="I27" s="164" t="s">
        <v>17</v>
      </c>
      <c r="J27" s="164" t="s">
        <v>18</v>
      </c>
      <c r="K27" s="164" t="s">
        <v>15</v>
      </c>
      <c r="L27" s="177"/>
      <c r="M27" s="165" t="s">
        <v>11</v>
      </c>
      <c r="N27" s="164" t="s">
        <v>19</v>
      </c>
      <c r="O27" s="164" t="s">
        <v>20</v>
      </c>
      <c r="P27" s="164" t="s">
        <v>21</v>
      </c>
      <c r="Q27" s="164" t="s">
        <v>15</v>
      </c>
    </row>
    <row r="28" spans="1:17">
      <c r="A28" s="168" t="s">
        <v>22</v>
      </c>
      <c r="B28" s="196">
        <v>18.709935897435901</v>
      </c>
      <c r="C28" s="196">
        <v>37.813165364583298</v>
      </c>
      <c r="D28" s="196">
        <v>19.103229467147401</v>
      </c>
      <c r="E28" s="197">
        <v>0.50520048461851197</v>
      </c>
      <c r="G28" s="168" t="s">
        <v>22</v>
      </c>
      <c r="H28" s="196">
        <v>187.09935897435901</v>
      </c>
      <c r="I28" s="196">
        <v>378.13165364583301</v>
      </c>
      <c r="J28" s="196">
        <v>191.03229467147401</v>
      </c>
      <c r="K28" s="197">
        <v>0.50520048461851197</v>
      </c>
      <c r="L28" s="177"/>
      <c r="M28" s="168" t="s">
        <v>22</v>
      </c>
      <c r="N28" s="196">
        <v>58375</v>
      </c>
      <c r="O28" s="196">
        <v>117977.07593750001</v>
      </c>
      <c r="P28" s="196">
        <v>59602.075937499998</v>
      </c>
      <c r="Q28" s="197">
        <v>0.50520048461851197</v>
      </c>
    </row>
    <row r="29" spans="1:17">
      <c r="A29" s="168" t="s">
        <v>23</v>
      </c>
      <c r="B29" s="196">
        <v>134.711538461538</v>
      </c>
      <c r="C29" s="196">
        <v>58.637820512820497</v>
      </c>
      <c r="D29" s="196">
        <v>-76.073717948717999</v>
      </c>
      <c r="E29" s="197">
        <v>-1.2973490024596901</v>
      </c>
      <c r="G29" s="168" t="s">
        <v>23</v>
      </c>
      <c r="H29" s="196">
        <v>1347.11538461538</v>
      </c>
      <c r="I29" s="196">
        <v>586.37820512820497</v>
      </c>
      <c r="J29" s="196">
        <v>-760.73717948718001</v>
      </c>
      <c r="K29" s="197">
        <v>-1.2973490024596901</v>
      </c>
      <c r="L29" s="177"/>
      <c r="M29" s="168" t="s">
        <v>23</v>
      </c>
      <c r="N29" s="196">
        <v>420300</v>
      </c>
      <c r="O29" s="196">
        <v>182950</v>
      </c>
      <c r="P29" s="196">
        <v>-237350</v>
      </c>
      <c r="Q29" s="197">
        <v>-1.2973490024596901</v>
      </c>
    </row>
    <row r="30" spans="1:17">
      <c r="A30" s="168" t="s">
        <v>24</v>
      </c>
      <c r="B30" s="196">
        <v>261.09712386324799</v>
      </c>
      <c r="C30" s="196">
        <v>296.94835749287802</v>
      </c>
      <c r="D30" s="196">
        <v>35.851233629629697</v>
      </c>
      <c r="E30" s="197">
        <v>0.12073221731994099</v>
      </c>
      <c r="G30" s="168" t="s">
        <v>24</v>
      </c>
      <c r="H30" s="196">
        <v>2610.97123863248</v>
      </c>
      <c r="I30" s="196">
        <v>2969.4835749287699</v>
      </c>
      <c r="J30" s="196">
        <v>358.51233629629598</v>
      </c>
      <c r="K30" s="197">
        <v>0.12073221731994099</v>
      </c>
      <c r="L30" s="177"/>
      <c r="M30" s="168" t="s">
        <v>24</v>
      </c>
      <c r="N30" s="196">
        <v>814623.02645333298</v>
      </c>
      <c r="O30" s="196">
        <v>926478.87537777796</v>
      </c>
      <c r="P30" s="196">
        <v>111855.848924445</v>
      </c>
      <c r="Q30" s="197">
        <v>0.12073221731994099</v>
      </c>
    </row>
    <row r="31" spans="1:17">
      <c r="A31" s="171" t="s">
        <v>25</v>
      </c>
      <c r="B31" s="204">
        <v>0.67492603550295904</v>
      </c>
      <c r="C31" s="204">
        <v>2.0019723865877701</v>
      </c>
      <c r="D31" s="204">
        <v>1.3270463510848101</v>
      </c>
      <c r="E31" s="197">
        <v>0.66286945812807896</v>
      </c>
      <c r="G31" s="171" t="s">
        <v>25</v>
      </c>
      <c r="H31" s="196">
        <v>6.7492603550295902</v>
      </c>
      <c r="I31" s="196">
        <v>20.019723865877701</v>
      </c>
      <c r="J31" s="196">
        <v>13.270463510848099</v>
      </c>
      <c r="K31" s="197">
        <v>0.66286945812807896</v>
      </c>
      <c r="L31" s="177"/>
      <c r="M31" s="171" t="s">
        <v>25</v>
      </c>
      <c r="N31" s="204">
        <v>2105.76923076923</v>
      </c>
      <c r="O31" s="204">
        <v>6246.1538461538503</v>
      </c>
      <c r="P31" s="204">
        <v>4140.3846153846198</v>
      </c>
      <c r="Q31" s="197">
        <v>0.66286945812807896</v>
      </c>
    </row>
    <row r="32" spans="1:17">
      <c r="A32" s="171" t="s">
        <v>26</v>
      </c>
      <c r="B32" s="204">
        <v>5.30849358974359E-3</v>
      </c>
      <c r="C32" s="204">
        <v>2.13609467455621E-2</v>
      </c>
      <c r="D32" s="204">
        <v>1.6052453155818502E-2</v>
      </c>
      <c r="E32" s="197">
        <v>0.751486034164358</v>
      </c>
      <c r="G32" s="171" t="s">
        <v>26</v>
      </c>
      <c r="H32" s="196">
        <v>5.3084935897435903E-2</v>
      </c>
      <c r="I32" s="196">
        <v>0.21360946745562101</v>
      </c>
      <c r="J32" s="196">
        <v>0.160524531558185</v>
      </c>
      <c r="K32" s="197">
        <v>0.751486034164358</v>
      </c>
      <c r="L32" s="177"/>
      <c r="M32" s="171" t="s">
        <v>26</v>
      </c>
      <c r="N32" s="204">
        <v>16.5625</v>
      </c>
      <c r="O32" s="204">
        <v>66.646153846153794</v>
      </c>
      <c r="P32" s="204">
        <v>50.083653846153801</v>
      </c>
      <c r="Q32" s="197">
        <v>0.751486034164358</v>
      </c>
    </row>
    <row r="33" spans="1:17">
      <c r="A33" s="171" t="s">
        <v>27</v>
      </c>
      <c r="B33" s="204">
        <v>0.151153846153846</v>
      </c>
      <c r="C33" s="204">
        <v>0.75576923076923097</v>
      </c>
      <c r="D33" s="204">
        <v>0.604615384615385</v>
      </c>
      <c r="E33" s="197">
        <v>0.8</v>
      </c>
      <c r="G33" s="171" t="s">
        <v>27</v>
      </c>
      <c r="H33" s="196">
        <v>1.5115384615384599</v>
      </c>
      <c r="I33" s="196">
        <v>7.5576923076923102</v>
      </c>
      <c r="J33" s="196">
        <v>6.0461538461538504</v>
      </c>
      <c r="K33" s="197">
        <v>0.8</v>
      </c>
      <c r="L33" s="177"/>
      <c r="M33" s="171" t="s">
        <v>27</v>
      </c>
      <c r="N33" s="204">
        <v>471.6</v>
      </c>
      <c r="O33" s="204">
        <v>2358</v>
      </c>
      <c r="P33" s="204">
        <v>1886.4</v>
      </c>
      <c r="Q33" s="197">
        <v>0.8</v>
      </c>
    </row>
    <row r="34" spans="1:17" s="172" customFormat="1">
      <c r="A34" s="164" t="s">
        <v>28</v>
      </c>
      <c r="B34" s="205">
        <v>415.34998659746901</v>
      </c>
      <c r="C34" s="205">
        <v>396.178445934384</v>
      </c>
      <c r="D34" s="205">
        <v>-19.171540663084802</v>
      </c>
      <c r="E34" s="211">
        <v>-4.83911753903443E-2</v>
      </c>
      <c r="F34" s="163"/>
      <c r="G34" s="164" t="s">
        <v>28</v>
      </c>
      <c r="H34" s="205">
        <v>4153.4998659746898</v>
      </c>
      <c r="I34" s="205">
        <v>3961.7844593438399</v>
      </c>
      <c r="J34" s="205">
        <v>-191.715406630849</v>
      </c>
      <c r="K34" s="211">
        <v>-4.8391175390344598E-2</v>
      </c>
      <c r="L34" s="177"/>
      <c r="M34" s="164" t="s">
        <v>28</v>
      </c>
      <c r="N34" s="205">
        <v>1295891.9581841</v>
      </c>
      <c r="O34" s="205">
        <v>1236076.7513152801</v>
      </c>
      <c r="P34" s="205">
        <v>-59815.206868824702</v>
      </c>
      <c r="Q34" s="211">
        <v>-4.8391175390344397E-2</v>
      </c>
    </row>
    <row r="35" spans="1:17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</row>
    <row r="36" spans="1:17">
      <c r="A36" s="166"/>
    </row>
    <row r="37" spans="1:17">
      <c r="A37" s="166" t="s">
        <v>33</v>
      </c>
      <c r="B37" s="166" t="s">
        <v>8</v>
      </c>
      <c r="C37" s="166" t="s">
        <v>9</v>
      </c>
      <c r="D37" s="177"/>
      <c r="E37" s="177"/>
      <c r="F37" s="177"/>
      <c r="G37" s="166" t="s">
        <v>33</v>
      </c>
      <c r="H37" s="166" t="s">
        <v>8</v>
      </c>
      <c r="I37" s="166" t="s">
        <v>9</v>
      </c>
      <c r="J37" s="177"/>
      <c r="K37" s="177"/>
      <c r="L37" s="177"/>
      <c r="M37" s="166" t="s">
        <v>33</v>
      </c>
      <c r="N37" s="166" t="s">
        <v>8</v>
      </c>
      <c r="O37" s="166" t="s">
        <v>9</v>
      </c>
      <c r="P37" s="177"/>
    </row>
    <row r="38" spans="1:17">
      <c r="A38" s="172" t="s">
        <v>10</v>
      </c>
      <c r="B38" s="195">
        <v>12</v>
      </c>
      <c r="C38" s="195">
        <v>12</v>
      </c>
      <c r="D38" s="177"/>
      <c r="E38" s="201" t="s">
        <v>34</v>
      </c>
      <c r="F38" s="177"/>
      <c r="G38" s="172" t="s">
        <v>10</v>
      </c>
      <c r="H38" s="195">
        <v>12</v>
      </c>
      <c r="I38" s="195">
        <v>12</v>
      </c>
      <c r="J38" s="177"/>
      <c r="K38" s="201" t="s">
        <v>34</v>
      </c>
      <c r="L38" s="177"/>
      <c r="M38" s="172" t="s">
        <v>10</v>
      </c>
      <c r="N38" s="195">
        <v>12</v>
      </c>
      <c r="O38" s="195">
        <v>12</v>
      </c>
      <c r="P38" s="177"/>
      <c r="Q38" s="201" t="s">
        <v>34</v>
      </c>
    </row>
    <row r="39" spans="1:17">
      <c r="A39" s="165" t="s">
        <v>11</v>
      </c>
      <c r="B39" s="164" t="s">
        <v>12</v>
      </c>
      <c r="C39" s="164" t="s">
        <v>13</v>
      </c>
      <c r="D39" s="164" t="s">
        <v>14</v>
      </c>
      <c r="E39" s="164" t="s">
        <v>15</v>
      </c>
      <c r="G39" s="165" t="s">
        <v>11</v>
      </c>
      <c r="H39" s="164" t="s">
        <v>16</v>
      </c>
      <c r="I39" s="164" t="s">
        <v>17</v>
      </c>
      <c r="J39" s="164" t="s">
        <v>18</v>
      </c>
      <c r="K39" s="164" t="s">
        <v>15</v>
      </c>
      <c r="L39" s="177"/>
      <c r="M39" s="165" t="s">
        <v>11</v>
      </c>
      <c r="N39" s="164" t="s">
        <v>19</v>
      </c>
      <c r="O39" s="164" t="s">
        <v>20</v>
      </c>
      <c r="P39" s="164" t="s">
        <v>21</v>
      </c>
      <c r="Q39" s="164" t="s">
        <v>15</v>
      </c>
    </row>
    <row r="40" spans="1:17">
      <c r="A40" s="168" t="s">
        <v>22</v>
      </c>
      <c r="B40" s="196">
        <v>18.587517806267801</v>
      </c>
      <c r="C40" s="196">
        <v>37.813165364583298</v>
      </c>
      <c r="D40" s="196">
        <v>19.225647558315501</v>
      </c>
      <c r="E40" s="197">
        <v>0.50843793088855505</v>
      </c>
      <c r="G40" s="168" t="s">
        <v>22</v>
      </c>
      <c r="H40" s="196">
        <v>223.050213675214</v>
      </c>
      <c r="I40" s="196">
        <v>453.75798437499998</v>
      </c>
      <c r="J40" s="196">
        <v>230.70777069978601</v>
      </c>
      <c r="K40" s="197">
        <v>0.50843793088855505</v>
      </c>
      <c r="L40" s="177"/>
      <c r="M40" s="168" t="s">
        <v>22</v>
      </c>
      <c r="N40" s="196">
        <v>69591.666666666701</v>
      </c>
      <c r="O40" s="196">
        <v>141572.491125</v>
      </c>
      <c r="P40" s="196">
        <v>71980.8244583333</v>
      </c>
      <c r="Q40" s="197">
        <v>0.50843793088855505</v>
      </c>
    </row>
    <row r="41" spans="1:17">
      <c r="A41" s="168" t="s">
        <v>23</v>
      </c>
      <c r="B41" s="196">
        <v>120.53952991452999</v>
      </c>
      <c r="C41" s="196">
        <v>58.637820512820497</v>
      </c>
      <c r="D41" s="196">
        <v>-61.901709401709397</v>
      </c>
      <c r="E41" s="197">
        <v>-1.0556618383893599</v>
      </c>
      <c r="G41" s="168" t="s">
        <v>23</v>
      </c>
      <c r="H41" s="196">
        <v>1446.47435897436</v>
      </c>
      <c r="I41" s="196">
        <v>703.65384615384596</v>
      </c>
      <c r="J41" s="196">
        <v>-742.82051282051304</v>
      </c>
      <c r="K41" s="197">
        <v>-1.0556618383893599</v>
      </c>
      <c r="L41" s="177"/>
      <c r="M41" s="168" t="s">
        <v>23</v>
      </c>
      <c r="N41" s="196">
        <v>451300</v>
      </c>
      <c r="O41" s="196">
        <v>219540</v>
      </c>
      <c r="P41" s="196">
        <v>-231760</v>
      </c>
      <c r="Q41" s="197">
        <v>-1.0556618383893599</v>
      </c>
    </row>
    <row r="42" spans="1:17">
      <c r="A42" s="168" t="s">
        <v>24</v>
      </c>
      <c r="B42" s="196">
        <v>255.92788811965801</v>
      </c>
      <c r="C42" s="196">
        <v>296.94835749287802</v>
      </c>
      <c r="D42" s="196">
        <v>41.020469373219399</v>
      </c>
      <c r="E42" s="197">
        <v>0.138140078360943</v>
      </c>
      <c r="G42" s="168" t="s">
        <v>24</v>
      </c>
      <c r="H42" s="196">
        <v>3071.1346574359</v>
      </c>
      <c r="I42" s="196">
        <v>3563.3802899145298</v>
      </c>
      <c r="J42" s="196">
        <v>492.24563247863301</v>
      </c>
      <c r="K42" s="197">
        <v>0.138140078360943</v>
      </c>
      <c r="L42" s="177"/>
      <c r="M42" s="168" t="s">
        <v>24</v>
      </c>
      <c r="N42" s="196">
        <v>958194.01312000002</v>
      </c>
      <c r="O42" s="196">
        <v>1111774.65045333</v>
      </c>
      <c r="P42" s="196">
        <v>153580.637333333</v>
      </c>
      <c r="Q42" s="197">
        <v>0.138140078360943</v>
      </c>
    </row>
    <row r="43" spans="1:17">
      <c r="A43" s="171" t="s">
        <v>25</v>
      </c>
      <c r="B43" s="204">
        <v>0.67492603550295904</v>
      </c>
      <c r="C43" s="204">
        <v>2.0019723865877701</v>
      </c>
      <c r="D43" s="204">
        <v>1.3270463510848101</v>
      </c>
      <c r="E43" s="197">
        <v>0.66286945812807896</v>
      </c>
      <c r="G43" s="171" t="s">
        <v>25</v>
      </c>
      <c r="H43" s="196">
        <v>8.0991124260355001</v>
      </c>
      <c r="I43" s="196">
        <v>24.023668639053302</v>
      </c>
      <c r="J43" s="196">
        <v>15.9245562130178</v>
      </c>
      <c r="K43" s="197">
        <v>0.66286945812807896</v>
      </c>
      <c r="L43" s="177"/>
      <c r="M43" s="171" t="s">
        <v>25</v>
      </c>
      <c r="N43" s="204">
        <v>2526.9230769230799</v>
      </c>
      <c r="O43" s="204">
        <v>7495.3846153846198</v>
      </c>
      <c r="P43" s="204">
        <v>4968.4615384615399</v>
      </c>
      <c r="Q43" s="197">
        <v>0.66286945812807896</v>
      </c>
    </row>
    <row r="44" spans="1:17">
      <c r="A44" s="171" t="s">
        <v>26</v>
      </c>
      <c r="B44" s="204">
        <v>5.30849358974359E-3</v>
      </c>
      <c r="C44" s="204">
        <v>2.13609467455621E-2</v>
      </c>
      <c r="D44" s="204">
        <v>1.6052453155818502E-2</v>
      </c>
      <c r="E44" s="197">
        <v>0.751486034164358</v>
      </c>
      <c r="G44" s="171" t="s">
        <v>26</v>
      </c>
      <c r="H44" s="196">
        <v>6.37019230769231E-2</v>
      </c>
      <c r="I44" s="196">
        <v>0.25633136094674602</v>
      </c>
      <c r="J44" s="196">
        <v>0.19262943786982301</v>
      </c>
      <c r="K44" s="197">
        <v>0.751486034164358</v>
      </c>
      <c r="L44" s="177"/>
      <c r="M44" s="171" t="s">
        <v>26</v>
      </c>
      <c r="N44" s="204">
        <v>19.875</v>
      </c>
      <c r="O44" s="204">
        <v>79.975384615384598</v>
      </c>
      <c r="P44" s="204">
        <v>60.100384615384598</v>
      </c>
      <c r="Q44" s="197">
        <v>0.751486034164358</v>
      </c>
    </row>
    <row r="45" spans="1:17">
      <c r="A45" s="171" t="s">
        <v>27</v>
      </c>
      <c r="B45" s="204">
        <v>0.12596153846153799</v>
      </c>
      <c r="C45" s="204">
        <v>0.62980769230769196</v>
      </c>
      <c r="D45" s="204">
        <v>0.50384615384615405</v>
      </c>
      <c r="E45" s="197">
        <v>0.8</v>
      </c>
      <c r="G45" s="171" t="s">
        <v>27</v>
      </c>
      <c r="H45" s="196">
        <v>1.5115384615384599</v>
      </c>
      <c r="I45" s="196">
        <v>7.5576923076923102</v>
      </c>
      <c r="J45" s="196">
        <v>6.0461538461538504</v>
      </c>
      <c r="K45" s="197">
        <v>0.8</v>
      </c>
      <c r="L45" s="177"/>
      <c r="M45" s="171" t="s">
        <v>27</v>
      </c>
      <c r="N45" s="204">
        <v>471.6</v>
      </c>
      <c r="O45" s="204">
        <v>2358</v>
      </c>
      <c r="P45" s="204">
        <v>1886.4</v>
      </c>
      <c r="Q45" s="197">
        <v>0.8</v>
      </c>
    </row>
    <row r="46" spans="1:17" s="172" customFormat="1">
      <c r="A46" s="164" t="s">
        <v>28</v>
      </c>
      <c r="B46" s="205">
        <v>395.86113190801001</v>
      </c>
      <c r="C46" s="205">
        <v>396.05248439592202</v>
      </c>
      <c r="D46" s="205">
        <v>0.191352487912331</v>
      </c>
      <c r="E46" s="211">
        <v>4.8314931846517902E-4</v>
      </c>
      <c r="F46" s="163"/>
      <c r="G46" s="164" t="s">
        <v>28</v>
      </c>
      <c r="H46" s="205">
        <v>4750.3335828961199</v>
      </c>
      <c r="I46" s="205">
        <v>4752.6298127510699</v>
      </c>
      <c r="J46" s="205">
        <v>2.2962298549476801</v>
      </c>
      <c r="K46" s="211">
        <v>4.8314931846511798E-4</v>
      </c>
      <c r="L46" s="177"/>
      <c r="M46" s="164" t="s">
        <v>28</v>
      </c>
      <c r="N46" s="205">
        <v>1482104.0778635901</v>
      </c>
      <c r="O46" s="205">
        <v>1482820.5015783301</v>
      </c>
      <c r="P46" s="205">
        <v>716.423714743613</v>
      </c>
      <c r="Q46" s="211">
        <v>4.8314931846507602E-4</v>
      </c>
    </row>
    <row r="47" spans="1:17">
      <c r="A47" s="215"/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</row>
    <row r="48" spans="1:17">
      <c r="A48" s="166"/>
    </row>
    <row r="49" spans="1:17">
      <c r="A49" s="166" t="s">
        <v>35</v>
      </c>
      <c r="B49" s="166" t="s">
        <v>8</v>
      </c>
      <c r="C49" s="166" t="s">
        <v>9</v>
      </c>
      <c r="D49" s="177"/>
      <c r="E49" s="177"/>
      <c r="F49" s="177"/>
      <c r="G49" s="178" t="s">
        <v>35</v>
      </c>
      <c r="H49" s="166" t="s">
        <v>8</v>
      </c>
      <c r="I49" s="166" t="s">
        <v>9</v>
      </c>
      <c r="J49" s="177"/>
      <c r="K49" s="177"/>
      <c r="L49" s="177"/>
      <c r="M49" s="178" t="s">
        <v>35</v>
      </c>
      <c r="N49" s="166" t="s">
        <v>8</v>
      </c>
      <c r="O49" s="166" t="s">
        <v>9</v>
      </c>
      <c r="P49" s="177"/>
    </row>
    <row r="50" spans="1:17">
      <c r="A50" s="172" t="s">
        <v>10</v>
      </c>
      <c r="B50" s="195">
        <v>14</v>
      </c>
      <c r="C50" s="195">
        <v>14</v>
      </c>
      <c r="D50" s="177"/>
      <c r="E50" s="201" t="s">
        <v>34</v>
      </c>
      <c r="F50" s="177"/>
      <c r="G50" s="200" t="s">
        <v>10</v>
      </c>
      <c r="H50" s="195">
        <v>14</v>
      </c>
      <c r="I50" s="195">
        <v>14</v>
      </c>
      <c r="J50" s="177"/>
      <c r="K50" s="201" t="s">
        <v>34</v>
      </c>
      <c r="L50" s="177"/>
      <c r="M50" s="200" t="s">
        <v>10</v>
      </c>
      <c r="N50" s="195">
        <v>14</v>
      </c>
      <c r="O50" s="195">
        <v>14</v>
      </c>
      <c r="P50" s="177"/>
      <c r="Q50" s="201" t="s">
        <v>34</v>
      </c>
    </row>
    <row r="51" spans="1:17">
      <c r="A51" s="165" t="s">
        <v>11</v>
      </c>
      <c r="B51" s="164" t="s">
        <v>12</v>
      </c>
      <c r="C51" s="164" t="s">
        <v>13</v>
      </c>
      <c r="D51" s="164" t="s">
        <v>14</v>
      </c>
      <c r="E51" s="164" t="s">
        <v>15</v>
      </c>
      <c r="G51" s="165" t="s">
        <v>11</v>
      </c>
      <c r="H51" s="164" t="s">
        <v>16</v>
      </c>
      <c r="I51" s="164" t="s">
        <v>17</v>
      </c>
      <c r="J51" s="164" t="s">
        <v>18</v>
      </c>
      <c r="K51" s="164" t="s">
        <v>15</v>
      </c>
      <c r="L51" s="177"/>
      <c r="M51" s="165" t="s">
        <v>11</v>
      </c>
      <c r="N51" s="164" t="s">
        <v>19</v>
      </c>
      <c r="O51" s="164" t="s">
        <v>20</v>
      </c>
      <c r="P51" s="164" t="s">
        <v>21</v>
      </c>
      <c r="Q51" s="164" t="s">
        <v>15</v>
      </c>
    </row>
    <row r="52" spans="1:17">
      <c r="A52" s="168" t="s">
        <v>22</v>
      </c>
      <c r="B52" s="196">
        <v>18.500076312576301</v>
      </c>
      <c r="C52" s="196">
        <v>37.813165364583298</v>
      </c>
      <c r="D52" s="196">
        <v>19.313089052007001</v>
      </c>
      <c r="E52" s="197">
        <v>0.51075039251001497</v>
      </c>
      <c r="G52" s="168" t="s">
        <v>22</v>
      </c>
      <c r="H52" s="196">
        <v>259.00106837606802</v>
      </c>
      <c r="I52" s="196">
        <v>529.38431510416694</v>
      </c>
      <c r="J52" s="196">
        <v>270.38324672809802</v>
      </c>
      <c r="K52" s="197">
        <v>0.51075039251001397</v>
      </c>
      <c r="L52" s="177"/>
      <c r="M52" s="168" t="s">
        <v>22</v>
      </c>
      <c r="N52" s="196">
        <v>80808.333333333299</v>
      </c>
      <c r="O52" s="196">
        <v>165167.90631250001</v>
      </c>
      <c r="P52" s="196">
        <v>84359.572979166696</v>
      </c>
      <c r="Q52" s="197">
        <v>0.51075039251001397</v>
      </c>
    </row>
    <row r="53" spans="1:17">
      <c r="A53" s="168" t="s">
        <v>23</v>
      </c>
      <c r="B53" s="196">
        <v>110.416666666667</v>
      </c>
      <c r="C53" s="196">
        <v>58.637820512820497</v>
      </c>
      <c r="D53" s="196">
        <v>-51.778846153846203</v>
      </c>
      <c r="E53" s="197">
        <v>-0.88302814976769695</v>
      </c>
      <c r="G53" s="168" t="s">
        <v>23</v>
      </c>
      <c r="H53" s="196">
        <v>1545.8333333333301</v>
      </c>
      <c r="I53" s="196">
        <v>820.92948717948696</v>
      </c>
      <c r="J53" s="196">
        <v>-724.90384615384596</v>
      </c>
      <c r="K53" s="197">
        <v>-0.88302814976769595</v>
      </c>
      <c r="L53" s="177"/>
      <c r="M53" s="168" t="s">
        <v>23</v>
      </c>
      <c r="N53" s="196">
        <v>482300</v>
      </c>
      <c r="O53" s="196">
        <v>256130</v>
      </c>
      <c r="P53" s="196">
        <v>-226170</v>
      </c>
      <c r="Q53" s="197">
        <v>-0.88302814976769595</v>
      </c>
    </row>
    <row r="54" spans="1:17">
      <c r="A54" s="168" t="s">
        <v>24</v>
      </c>
      <c r="B54" s="196">
        <v>252.23557687423701</v>
      </c>
      <c r="C54" s="196">
        <v>296.94835749287802</v>
      </c>
      <c r="D54" s="196">
        <v>44.7127806186406</v>
      </c>
      <c r="E54" s="197">
        <v>0.15057426481880101</v>
      </c>
      <c r="G54" s="168" t="s">
        <v>24</v>
      </c>
      <c r="H54" s="196">
        <v>3531.2980762393199</v>
      </c>
      <c r="I54" s="196">
        <v>4157.2770049002802</v>
      </c>
      <c r="J54" s="196">
        <v>625.97892866096902</v>
      </c>
      <c r="K54" s="197">
        <v>0.15057426481880101</v>
      </c>
      <c r="L54" s="177"/>
      <c r="M54" s="168" t="s">
        <v>24</v>
      </c>
      <c r="N54" s="196">
        <v>1101764.9997866701</v>
      </c>
      <c r="O54" s="196">
        <v>1297070.42552889</v>
      </c>
      <c r="P54" s="196">
        <v>195305.425742222</v>
      </c>
      <c r="Q54" s="197">
        <v>0.15057426481880101</v>
      </c>
    </row>
    <row r="55" spans="1:17">
      <c r="A55" s="171" t="s">
        <v>25</v>
      </c>
      <c r="B55" s="204">
        <v>0.67492603550295904</v>
      </c>
      <c r="C55" s="204">
        <v>2.0019723865877701</v>
      </c>
      <c r="D55" s="204">
        <v>1.3270463510848101</v>
      </c>
      <c r="E55" s="197">
        <v>0.66286945812807896</v>
      </c>
      <c r="G55" s="171" t="s">
        <v>25</v>
      </c>
      <c r="H55" s="196">
        <v>9.4489644970414197</v>
      </c>
      <c r="I55" s="196">
        <v>28.027613412228799</v>
      </c>
      <c r="J55" s="196">
        <v>18.578648915187401</v>
      </c>
      <c r="K55" s="197">
        <v>0.66286945812807896</v>
      </c>
      <c r="L55" s="177"/>
      <c r="M55" s="171" t="s">
        <v>25</v>
      </c>
      <c r="N55" s="204">
        <v>2948.0769230769201</v>
      </c>
      <c r="O55" s="204">
        <v>8744.6153846153793</v>
      </c>
      <c r="P55" s="204">
        <v>5796.5384615384601</v>
      </c>
      <c r="Q55" s="197">
        <v>0.66286945812807896</v>
      </c>
    </row>
    <row r="56" spans="1:17">
      <c r="A56" s="171" t="s">
        <v>26</v>
      </c>
      <c r="B56" s="204">
        <v>5.30849358974359E-3</v>
      </c>
      <c r="C56" s="204">
        <v>2.13609467455621E-2</v>
      </c>
      <c r="D56" s="204">
        <v>1.6052453155818502E-2</v>
      </c>
      <c r="E56" s="197">
        <v>0.751486034164358</v>
      </c>
      <c r="G56" s="171" t="s">
        <v>26</v>
      </c>
      <c r="H56" s="196">
        <v>7.4318910256410298E-2</v>
      </c>
      <c r="I56" s="196">
        <v>0.29905325443787001</v>
      </c>
      <c r="J56" s="196">
        <v>0.22473434418145999</v>
      </c>
      <c r="K56" s="197">
        <v>0.751486034164358</v>
      </c>
      <c r="L56" s="177"/>
      <c r="M56" s="171" t="s">
        <v>26</v>
      </c>
      <c r="N56" s="204">
        <v>23.1875</v>
      </c>
      <c r="O56" s="204">
        <v>93.304615384615403</v>
      </c>
      <c r="P56" s="204">
        <v>70.117115384615403</v>
      </c>
      <c r="Q56" s="197">
        <v>0.751486034164358</v>
      </c>
    </row>
    <row r="57" spans="1:17">
      <c r="A57" s="171" t="s">
        <v>27</v>
      </c>
      <c r="B57" s="204">
        <v>0.107967032967033</v>
      </c>
      <c r="C57" s="204">
        <v>0.53983516483516503</v>
      </c>
      <c r="D57" s="204">
        <v>0.431868131868132</v>
      </c>
      <c r="E57" s="197">
        <v>0.8</v>
      </c>
      <c r="G57" s="171" t="s">
        <v>27</v>
      </c>
      <c r="H57" s="196">
        <v>1.5115384615384599</v>
      </c>
      <c r="I57" s="196">
        <v>7.5576923076923102</v>
      </c>
      <c r="J57" s="196">
        <v>6.0461538461538504</v>
      </c>
      <c r="K57" s="197">
        <v>0.8</v>
      </c>
      <c r="L57" s="177"/>
      <c r="M57" s="171" t="s">
        <v>27</v>
      </c>
      <c r="N57" s="204">
        <v>471.6</v>
      </c>
      <c r="O57" s="204">
        <v>2358</v>
      </c>
      <c r="P57" s="204">
        <v>1886.4</v>
      </c>
      <c r="Q57" s="197">
        <v>0.8</v>
      </c>
    </row>
    <row r="58" spans="1:17" s="172" customFormat="1">
      <c r="A58" s="164" t="s">
        <v>28</v>
      </c>
      <c r="B58" s="205">
        <v>381.94052141553999</v>
      </c>
      <c r="C58" s="205">
        <v>395.96251186845001</v>
      </c>
      <c r="D58" s="205">
        <v>14.021990452910201</v>
      </c>
      <c r="E58" s="211">
        <v>3.5412419187725398E-2</v>
      </c>
      <c r="F58" s="163"/>
      <c r="G58" s="164" t="s">
        <v>28</v>
      </c>
      <c r="H58" s="205">
        <v>5347.16729981755</v>
      </c>
      <c r="I58" s="205">
        <v>5543.4751661583005</v>
      </c>
      <c r="J58" s="205">
        <v>196.307866340744</v>
      </c>
      <c r="K58" s="211">
        <v>3.5412419187725398E-2</v>
      </c>
      <c r="L58" s="177"/>
      <c r="M58" s="164" t="s">
        <v>28</v>
      </c>
      <c r="N58" s="205">
        <v>1668316.19754308</v>
      </c>
      <c r="O58" s="205">
        <v>1729564.25184139</v>
      </c>
      <c r="P58" s="205">
        <v>61248.0542983122</v>
      </c>
      <c r="Q58" s="211">
        <v>3.5412419187725599E-2</v>
      </c>
    </row>
    <row r="59" spans="1:17" hidden="1">
      <c r="A59" s="213" t="s">
        <v>29</v>
      </c>
      <c r="B59" s="214">
        <v>381.15231985347998</v>
      </c>
      <c r="C59" s="214">
        <v>372.48267670361503</v>
      </c>
      <c r="D59" s="214">
        <v>-8.6696431498652107</v>
      </c>
      <c r="E59" s="197">
        <v>-2.3275292227250801E-2</v>
      </c>
      <c r="G59" s="213" t="s">
        <v>29</v>
      </c>
      <c r="H59" s="214">
        <v>5336.1324779487204</v>
      </c>
      <c r="I59" s="214">
        <v>5385.0728584659901</v>
      </c>
      <c r="J59" s="214">
        <v>48.940380517272402</v>
      </c>
      <c r="K59" s="197">
        <v>9.0881556858292498E-3</v>
      </c>
      <c r="L59" s="177"/>
      <c r="M59" s="213" t="s">
        <v>29</v>
      </c>
      <c r="N59" s="214">
        <v>1664873.3331200001</v>
      </c>
      <c r="O59" s="214">
        <v>1590614.2139904301</v>
      </c>
      <c r="P59" s="214">
        <v>-74259.119129572398</v>
      </c>
      <c r="Q59" s="197">
        <v>-4.6685813867635498E-2</v>
      </c>
    </row>
    <row r="60" spans="1:17" hidden="1">
      <c r="A60" s="213" t="s">
        <v>30</v>
      </c>
      <c r="B60" s="214">
        <v>0.78820156205973502</v>
      </c>
      <c r="C60" s="214">
        <v>2.5631684981684999</v>
      </c>
      <c r="D60" s="214">
        <v>1.7749669361087601</v>
      </c>
      <c r="E60" s="197">
        <v>0.69248936906686398</v>
      </c>
      <c r="G60" s="213" t="s">
        <v>30</v>
      </c>
      <c r="H60" s="214">
        <v>11.0348218688363</v>
      </c>
      <c r="I60" s="214">
        <v>35.884358974359003</v>
      </c>
      <c r="J60" s="214">
        <v>24.8495371055227</v>
      </c>
      <c r="K60" s="197">
        <v>0.69248936906686298</v>
      </c>
      <c r="L60" s="177"/>
      <c r="M60" s="213" t="s">
        <v>30</v>
      </c>
      <c r="N60" s="214">
        <v>3442.86442307692</v>
      </c>
      <c r="O60" s="214">
        <v>11195.92</v>
      </c>
      <c r="P60" s="214">
        <v>1956.51711538462</v>
      </c>
      <c r="Q60" s="197">
        <v>0.17475268806713701</v>
      </c>
    </row>
    <row r="61" spans="1:17">
      <c r="A61" s="215"/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</row>
    <row r="62" spans="1:17">
      <c r="A62" s="166"/>
    </row>
    <row r="63" spans="1:17">
      <c r="A63" s="178" t="s">
        <v>36</v>
      </c>
      <c r="B63" s="166" t="s">
        <v>8</v>
      </c>
      <c r="C63" s="166" t="s">
        <v>9</v>
      </c>
      <c r="D63" s="177"/>
      <c r="E63" s="177"/>
      <c r="F63" s="177"/>
      <c r="G63" s="178" t="s">
        <v>36</v>
      </c>
      <c r="H63" s="166" t="s">
        <v>8</v>
      </c>
      <c r="I63" s="166" t="s">
        <v>9</v>
      </c>
      <c r="J63" s="177"/>
      <c r="K63" s="177"/>
      <c r="L63" s="177"/>
      <c r="M63" s="178" t="s">
        <v>36</v>
      </c>
      <c r="N63" s="166" t="s">
        <v>8</v>
      </c>
      <c r="O63" s="166" t="s">
        <v>9</v>
      </c>
      <c r="P63" s="177"/>
    </row>
    <row r="64" spans="1:17">
      <c r="A64" s="200" t="s">
        <v>10</v>
      </c>
      <c r="B64" s="207">
        <v>16</v>
      </c>
      <c r="C64" s="207">
        <v>16</v>
      </c>
      <c r="D64" s="177"/>
      <c r="E64" s="201" t="s">
        <v>34</v>
      </c>
      <c r="F64" s="177"/>
      <c r="G64" s="200" t="s">
        <v>10</v>
      </c>
      <c r="H64" s="207">
        <v>16</v>
      </c>
      <c r="I64" s="207">
        <v>16</v>
      </c>
      <c r="J64" s="177"/>
      <c r="K64" s="201" t="s">
        <v>34</v>
      </c>
      <c r="L64" s="177"/>
      <c r="M64" s="200" t="s">
        <v>10</v>
      </c>
      <c r="N64" s="207">
        <v>16</v>
      </c>
      <c r="O64" s="207">
        <v>16</v>
      </c>
      <c r="P64" s="177"/>
      <c r="Q64" s="201" t="s">
        <v>34</v>
      </c>
    </row>
    <row r="65" spans="1:17">
      <c r="A65" s="165" t="s">
        <v>11</v>
      </c>
      <c r="B65" s="164" t="s">
        <v>12</v>
      </c>
      <c r="C65" s="164" t="s">
        <v>13</v>
      </c>
      <c r="D65" s="164" t="s">
        <v>14</v>
      </c>
      <c r="E65" s="164" t="s">
        <v>15</v>
      </c>
      <c r="G65" s="165" t="s">
        <v>11</v>
      </c>
      <c r="H65" s="164" t="s">
        <v>16</v>
      </c>
      <c r="I65" s="164" t="s">
        <v>17</v>
      </c>
      <c r="J65" s="164" t="s">
        <v>18</v>
      </c>
      <c r="K65" s="164" t="s">
        <v>15</v>
      </c>
      <c r="L65" s="177"/>
      <c r="M65" s="165" t="s">
        <v>11</v>
      </c>
      <c r="N65" s="164" t="s">
        <v>19</v>
      </c>
      <c r="O65" s="164" t="s">
        <v>20</v>
      </c>
      <c r="P65" s="164" t="s">
        <v>21</v>
      </c>
      <c r="Q65" s="164" t="s">
        <v>15</v>
      </c>
    </row>
    <row r="66" spans="1:17">
      <c r="A66" s="168" t="s">
        <v>22</v>
      </c>
      <c r="B66" s="196">
        <v>18.434495192307701</v>
      </c>
      <c r="C66" s="196">
        <v>37.813165364583298</v>
      </c>
      <c r="D66" s="196">
        <v>19.378670172275601</v>
      </c>
      <c r="E66" s="197">
        <v>0.512484738726109</v>
      </c>
      <c r="G66" s="168" t="s">
        <v>22</v>
      </c>
      <c r="H66" s="196">
        <v>294.95192307692298</v>
      </c>
      <c r="I66" s="196">
        <v>605.010645833333</v>
      </c>
      <c r="J66" s="196">
        <v>310.05872275641002</v>
      </c>
      <c r="K66" s="197">
        <v>0.512484738726109</v>
      </c>
      <c r="L66" s="177"/>
      <c r="M66" s="168" t="s">
        <v>22</v>
      </c>
      <c r="N66" s="196">
        <v>92025</v>
      </c>
      <c r="O66" s="196">
        <v>188763.32149999999</v>
      </c>
      <c r="P66" s="196">
        <v>96738.321500000005</v>
      </c>
      <c r="Q66" s="197">
        <v>0.512484738726109</v>
      </c>
    </row>
    <row r="67" spans="1:17">
      <c r="A67" s="168" t="s">
        <v>23</v>
      </c>
      <c r="B67" s="196">
        <v>102.824519230769</v>
      </c>
      <c r="C67" s="196">
        <v>58.637820512820497</v>
      </c>
      <c r="D67" s="196">
        <v>-44.186698717948701</v>
      </c>
      <c r="E67" s="197">
        <v>-0.75355288330144798</v>
      </c>
      <c r="G67" s="168" t="s">
        <v>23</v>
      </c>
      <c r="H67" s="196">
        <v>1645.1923076923099</v>
      </c>
      <c r="I67" s="196">
        <v>938.20512820512795</v>
      </c>
      <c r="J67" s="196">
        <v>-706.98717948717899</v>
      </c>
      <c r="K67" s="197">
        <v>-0.75355288330144798</v>
      </c>
      <c r="L67" s="177"/>
      <c r="M67" s="168" t="s">
        <v>23</v>
      </c>
      <c r="N67" s="196">
        <v>513300</v>
      </c>
      <c r="O67" s="196">
        <v>292720</v>
      </c>
      <c r="P67" s="196">
        <v>-220580</v>
      </c>
      <c r="Q67" s="197">
        <v>-0.75355288330144798</v>
      </c>
    </row>
    <row r="68" spans="1:17">
      <c r="A68" s="168" t="s">
        <v>24</v>
      </c>
      <c r="B68" s="196">
        <v>249.46634344017099</v>
      </c>
      <c r="C68" s="196">
        <v>296.94835749287802</v>
      </c>
      <c r="D68" s="196">
        <v>47.482014052706603</v>
      </c>
      <c r="E68" s="197">
        <v>0.159899904662195</v>
      </c>
      <c r="G68" s="168" t="s">
        <v>24</v>
      </c>
      <c r="H68" s="196">
        <v>3991.4614950427299</v>
      </c>
      <c r="I68" s="196">
        <v>4751.1737198860401</v>
      </c>
      <c r="J68" s="196">
        <v>759.71222484330599</v>
      </c>
      <c r="K68" s="197">
        <v>0.159899904662195</v>
      </c>
      <c r="L68" s="177"/>
      <c r="M68" s="168" t="s">
        <v>24</v>
      </c>
      <c r="N68" s="196">
        <v>1245335.9864533299</v>
      </c>
      <c r="O68" s="196">
        <v>1482366.2006044399</v>
      </c>
      <c r="P68" s="196">
        <v>237030.21415111099</v>
      </c>
      <c r="Q68" s="197">
        <v>0.159899904662195</v>
      </c>
    </row>
    <row r="69" spans="1:17">
      <c r="A69" s="171" t="s">
        <v>25</v>
      </c>
      <c r="B69" s="204">
        <v>0.67492603550295904</v>
      </c>
      <c r="C69" s="204">
        <v>2.0019723865877701</v>
      </c>
      <c r="D69" s="204">
        <v>1.3270463510848101</v>
      </c>
      <c r="E69" s="197">
        <v>0.66286945812807896</v>
      </c>
      <c r="G69" s="171" t="s">
        <v>25</v>
      </c>
      <c r="H69" s="196">
        <v>10.7988165680473</v>
      </c>
      <c r="I69" s="196">
        <v>32.0315581854043</v>
      </c>
      <c r="J69" s="196">
        <v>21.232741617357</v>
      </c>
      <c r="K69" s="197">
        <v>0.66286945812807896</v>
      </c>
      <c r="L69" s="177"/>
      <c r="M69" s="171" t="s">
        <v>25</v>
      </c>
      <c r="N69" s="204">
        <v>3369.23076923077</v>
      </c>
      <c r="O69" s="204">
        <v>9993.8461538461506</v>
      </c>
      <c r="P69" s="204">
        <v>6624.6153846153802</v>
      </c>
      <c r="Q69" s="197">
        <v>0.66286945812807896</v>
      </c>
    </row>
    <row r="70" spans="1:17">
      <c r="A70" s="171" t="s">
        <v>26</v>
      </c>
      <c r="B70" s="204">
        <v>5.30849358974359E-3</v>
      </c>
      <c r="C70" s="204">
        <v>2.13609467455621E-2</v>
      </c>
      <c r="D70" s="204">
        <v>1.6052453155818502E-2</v>
      </c>
      <c r="E70" s="197">
        <v>0.751486034164358</v>
      </c>
      <c r="G70" s="171" t="s">
        <v>26</v>
      </c>
      <c r="H70" s="196">
        <v>8.4935897435897398E-2</v>
      </c>
      <c r="I70" s="196">
        <v>0.34177514792899399</v>
      </c>
      <c r="J70" s="196">
        <v>0.25683925049309703</v>
      </c>
      <c r="K70" s="197">
        <v>0.751486034164358</v>
      </c>
      <c r="L70" s="177"/>
      <c r="M70" s="171" t="s">
        <v>26</v>
      </c>
      <c r="N70" s="204">
        <v>26.5</v>
      </c>
      <c r="O70" s="204">
        <v>106.63384615384599</v>
      </c>
      <c r="P70" s="204">
        <v>80.133846153846207</v>
      </c>
      <c r="Q70" s="197">
        <v>0.751486034164358</v>
      </c>
    </row>
    <row r="71" spans="1:17">
      <c r="A71" s="171" t="s">
        <v>27</v>
      </c>
      <c r="B71" s="204">
        <v>9.4471153846153899E-2</v>
      </c>
      <c r="C71" s="204">
        <v>0.472355769230769</v>
      </c>
      <c r="D71" s="204">
        <v>0.37788461538461499</v>
      </c>
      <c r="E71" s="197">
        <v>0.8</v>
      </c>
      <c r="G71" s="171" t="s">
        <v>27</v>
      </c>
      <c r="H71" s="196">
        <v>1.5115384615384599</v>
      </c>
      <c r="I71" s="196">
        <v>7.5576923076923102</v>
      </c>
      <c r="J71" s="196">
        <v>6.0461538461538504</v>
      </c>
      <c r="K71" s="197">
        <v>0.8</v>
      </c>
      <c r="L71" s="177"/>
      <c r="M71" s="171" t="s">
        <v>27</v>
      </c>
      <c r="N71" s="204">
        <v>471.6</v>
      </c>
      <c r="O71" s="204">
        <v>2358</v>
      </c>
      <c r="P71" s="204">
        <v>1886.4</v>
      </c>
      <c r="Q71" s="197">
        <v>0.8</v>
      </c>
    </row>
    <row r="72" spans="1:17" s="172" customFormat="1">
      <c r="A72" s="164" t="s">
        <v>28</v>
      </c>
      <c r="B72" s="205">
        <v>371.50006354618699</v>
      </c>
      <c r="C72" s="205">
        <v>395.89503247284603</v>
      </c>
      <c r="D72" s="205">
        <v>24.394968926658802</v>
      </c>
      <c r="E72" s="211">
        <v>6.1619790413339003E-2</v>
      </c>
      <c r="F72" s="163"/>
      <c r="G72" s="164" t="s">
        <v>28</v>
      </c>
      <c r="H72" s="205">
        <v>5944.0010167389901</v>
      </c>
      <c r="I72" s="205">
        <v>6334.32051956553</v>
      </c>
      <c r="J72" s="205">
        <v>390.31950282653997</v>
      </c>
      <c r="K72" s="211">
        <v>6.1619790413339003E-2</v>
      </c>
      <c r="L72" s="177"/>
      <c r="M72" s="164" t="s">
        <v>28</v>
      </c>
      <c r="N72" s="205">
        <v>1854528.3172225601</v>
      </c>
      <c r="O72" s="205">
        <v>1976308.00210444</v>
      </c>
      <c r="P72" s="205">
        <v>121779.68488188001</v>
      </c>
      <c r="Q72" s="211">
        <v>6.1619790413338801E-2</v>
      </c>
    </row>
    <row r="73" spans="1:17" hidden="1">
      <c r="A73" s="213" t="s">
        <v>29</v>
      </c>
      <c r="B73" s="214">
        <v>356.26062389743601</v>
      </c>
      <c r="C73" s="214">
        <v>358.33684337028097</v>
      </c>
      <c r="D73" s="214">
        <v>2.0762194728454499</v>
      </c>
      <c r="E73" s="197">
        <v>5.7940440991718703E-3</v>
      </c>
      <c r="G73" s="213" t="s">
        <v>29</v>
      </c>
      <c r="H73" s="214">
        <v>7125.2124779487203</v>
      </c>
      <c r="I73" s="214">
        <v>7410.0445597133203</v>
      </c>
      <c r="J73" s="214">
        <v>284.83208176459999</v>
      </c>
      <c r="K73" s="197">
        <v>3.8438646281989397E-2</v>
      </c>
      <c r="L73" s="177"/>
      <c r="M73" s="213" t="s">
        <v>29</v>
      </c>
      <c r="N73" s="214">
        <v>2223066.29312</v>
      </c>
      <c r="O73" s="214">
        <v>2184036.0199863198</v>
      </c>
      <c r="P73" s="214">
        <v>-39030.273133675197</v>
      </c>
      <c r="Q73" s="197">
        <v>-1.78707094464127E-2</v>
      </c>
    </row>
    <row r="74" spans="1:17" hidden="1">
      <c r="A74" s="213" t="s">
        <v>30</v>
      </c>
      <c r="B74" s="214">
        <v>0.75581145216962498</v>
      </c>
      <c r="C74" s="214">
        <v>2.4012179487179499</v>
      </c>
      <c r="D74" s="214">
        <v>1.6454064965483199</v>
      </c>
      <c r="E74" s="197">
        <v>0.685238296434871</v>
      </c>
      <c r="G74" s="213" t="s">
        <v>30</v>
      </c>
      <c r="H74" s="214">
        <v>15.116229043392501</v>
      </c>
      <c r="I74" s="214">
        <v>48.024358974358996</v>
      </c>
      <c r="J74" s="214">
        <v>32.908129930966503</v>
      </c>
      <c r="K74" s="197">
        <v>0.685238296434871</v>
      </c>
      <c r="L74" s="177"/>
      <c r="M74" s="213" t="s">
        <v>30</v>
      </c>
      <c r="N74" s="214">
        <v>4716.2634615384604</v>
      </c>
      <c r="O74" s="214">
        <v>14983.6</v>
      </c>
      <c r="P74" s="214">
        <v>1986.5673076923099</v>
      </c>
      <c r="Q74" s="197">
        <v>0.13258277768308699</v>
      </c>
    </row>
    <row r="75" spans="1:17">
      <c r="A75" s="215"/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</row>
    <row r="77" spans="1:17">
      <c r="A77" s="178" t="s">
        <v>37</v>
      </c>
      <c r="B77" s="166" t="s">
        <v>8</v>
      </c>
      <c r="C77" s="166" t="s">
        <v>9</v>
      </c>
      <c r="D77" s="177"/>
      <c r="E77" s="177"/>
      <c r="F77" s="177"/>
      <c r="G77" s="178" t="s">
        <v>37</v>
      </c>
      <c r="H77" s="166" t="s">
        <v>8</v>
      </c>
      <c r="I77" s="166" t="s">
        <v>9</v>
      </c>
      <c r="J77" s="177"/>
      <c r="K77" s="177"/>
      <c r="L77" s="177"/>
      <c r="M77" s="178" t="s">
        <v>37</v>
      </c>
      <c r="N77" s="166" t="s">
        <v>8</v>
      </c>
      <c r="O77" s="166" t="s">
        <v>9</v>
      </c>
      <c r="P77" s="177"/>
    </row>
    <row r="78" spans="1:17">
      <c r="A78" s="200" t="s">
        <v>10</v>
      </c>
      <c r="B78" s="195">
        <v>18</v>
      </c>
      <c r="C78" s="195">
        <v>18</v>
      </c>
      <c r="D78" s="177"/>
      <c r="E78" s="201" t="s">
        <v>34</v>
      </c>
      <c r="F78" s="177"/>
      <c r="G78" s="200" t="s">
        <v>10</v>
      </c>
      <c r="H78" s="195">
        <v>18</v>
      </c>
      <c r="I78" s="195">
        <v>18</v>
      </c>
      <c r="J78" s="177"/>
      <c r="K78" s="201" t="s">
        <v>34</v>
      </c>
      <c r="L78" s="177"/>
      <c r="M78" s="200" t="s">
        <v>10</v>
      </c>
      <c r="N78" s="195">
        <v>18</v>
      </c>
      <c r="O78" s="195">
        <v>18</v>
      </c>
      <c r="P78" s="177"/>
      <c r="Q78" s="201" t="s">
        <v>34</v>
      </c>
    </row>
    <row r="79" spans="1:17">
      <c r="A79" s="165" t="s">
        <v>11</v>
      </c>
      <c r="B79" s="164" t="s">
        <v>12</v>
      </c>
      <c r="C79" s="164" t="s">
        <v>13</v>
      </c>
      <c r="D79" s="164" t="s">
        <v>14</v>
      </c>
      <c r="E79" s="164" t="s">
        <v>15</v>
      </c>
      <c r="G79" s="165" t="s">
        <v>11</v>
      </c>
      <c r="H79" s="164" t="s">
        <v>16</v>
      </c>
      <c r="I79" s="164" t="s">
        <v>17</v>
      </c>
      <c r="J79" s="164" t="s">
        <v>18</v>
      </c>
      <c r="K79" s="164" t="s">
        <v>15</v>
      </c>
      <c r="L79" s="177"/>
      <c r="M79" s="165" t="s">
        <v>11</v>
      </c>
      <c r="N79" s="164" t="s">
        <v>19</v>
      </c>
      <c r="O79" s="164" t="s">
        <v>20</v>
      </c>
      <c r="P79" s="164" t="s">
        <v>21</v>
      </c>
      <c r="Q79" s="164" t="s">
        <v>15</v>
      </c>
    </row>
    <row r="80" spans="1:17">
      <c r="A80" s="168" t="s">
        <v>22</v>
      </c>
      <c r="B80" s="196">
        <v>18.383487654321002</v>
      </c>
      <c r="C80" s="196">
        <v>37.813165364583298</v>
      </c>
      <c r="D80" s="196">
        <v>19.4296777102623</v>
      </c>
      <c r="E80" s="197">
        <v>0.51383367467195995</v>
      </c>
      <c r="G80" s="168" t="s">
        <v>22</v>
      </c>
      <c r="H80" s="196">
        <v>330.902777777778</v>
      </c>
      <c r="I80" s="196">
        <v>680.63697656249997</v>
      </c>
      <c r="J80" s="196">
        <v>349.73419878472203</v>
      </c>
      <c r="K80" s="197">
        <v>0.51383367467195995</v>
      </c>
      <c r="L80" s="177"/>
      <c r="M80" s="168" t="s">
        <v>22</v>
      </c>
      <c r="N80" s="196">
        <v>103241.66666666701</v>
      </c>
      <c r="O80" s="196">
        <v>212358.7366875</v>
      </c>
      <c r="P80" s="196">
        <v>109117.07002083299</v>
      </c>
      <c r="Q80" s="197">
        <v>0.51383367467195995</v>
      </c>
    </row>
    <row r="81" spans="1:17">
      <c r="A81" s="168" t="s">
        <v>23</v>
      </c>
      <c r="B81" s="196">
        <v>96.919515669515704</v>
      </c>
      <c r="C81" s="196">
        <v>58.637820512820497</v>
      </c>
      <c r="D81" s="196">
        <v>-38.2816951566952</v>
      </c>
      <c r="E81" s="197">
        <v>-0.65284989827214501</v>
      </c>
      <c r="G81" s="168" t="s">
        <v>23</v>
      </c>
      <c r="H81" s="196">
        <v>1744.5512820512799</v>
      </c>
      <c r="I81" s="196">
        <v>1055.48076923077</v>
      </c>
      <c r="J81" s="196">
        <v>-689.07051282051304</v>
      </c>
      <c r="K81" s="197">
        <v>-0.65284989827214501</v>
      </c>
      <c r="L81" s="177"/>
      <c r="M81" s="168" t="s">
        <v>23</v>
      </c>
      <c r="N81" s="196">
        <v>544300</v>
      </c>
      <c r="O81" s="196">
        <v>329310</v>
      </c>
      <c r="P81" s="196">
        <v>-214990</v>
      </c>
      <c r="Q81" s="197">
        <v>-0.65284989827214501</v>
      </c>
    </row>
    <row r="82" spans="1:17">
      <c r="A82" s="168" t="s">
        <v>24</v>
      </c>
      <c r="B82" s="196">
        <v>247.31249521367499</v>
      </c>
      <c r="C82" s="196">
        <v>296.94835749287802</v>
      </c>
      <c r="D82" s="196">
        <v>49.6358622792023</v>
      </c>
      <c r="E82" s="197">
        <v>0.16715318009594601</v>
      </c>
      <c r="G82" s="168" t="s">
        <v>24</v>
      </c>
      <c r="H82" s="196">
        <v>4451.6249138461499</v>
      </c>
      <c r="I82" s="196">
        <v>5345.07043487179</v>
      </c>
      <c r="J82" s="196">
        <v>893.44552102564103</v>
      </c>
      <c r="K82" s="197">
        <v>0.16715318009594601</v>
      </c>
      <c r="L82" s="177"/>
      <c r="M82" s="168" t="s">
        <v>24</v>
      </c>
      <c r="N82" s="196">
        <v>1388906.97312</v>
      </c>
      <c r="O82" s="196">
        <v>1667661.9756799999</v>
      </c>
      <c r="P82" s="196">
        <v>278755.00255999999</v>
      </c>
      <c r="Q82" s="197">
        <v>0.16715318009594601</v>
      </c>
    </row>
    <row r="83" spans="1:17">
      <c r="A83" s="171" t="s">
        <v>25</v>
      </c>
      <c r="B83" s="204">
        <v>0.67492603550295904</v>
      </c>
      <c r="C83" s="204">
        <v>2.0019723865877701</v>
      </c>
      <c r="D83" s="204">
        <v>1.3270463510848101</v>
      </c>
      <c r="E83" s="197">
        <v>0.66286945812807896</v>
      </c>
      <c r="G83" s="171" t="s">
        <v>25</v>
      </c>
      <c r="H83" s="196">
        <v>12.1486686390533</v>
      </c>
      <c r="I83" s="196">
        <v>36.035502958579897</v>
      </c>
      <c r="J83" s="196">
        <v>23.886834319526599</v>
      </c>
      <c r="K83" s="197">
        <v>0.66286945812807896</v>
      </c>
      <c r="L83" s="177"/>
      <c r="M83" s="171" t="s">
        <v>25</v>
      </c>
      <c r="N83" s="204">
        <v>3790.3846153846198</v>
      </c>
      <c r="O83" s="204">
        <v>11243.0769230769</v>
      </c>
      <c r="P83" s="204">
        <v>7452.6923076923104</v>
      </c>
      <c r="Q83" s="197">
        <v>0.66286945812807896</v>
      </c>
    </row>
    <row r="84" spans="1:17">
      <c r="A84" s="171" t="s">
        <v>26</v>
      </c>
      <c r="B84" s="204">
        <v>5.30849358974359E-3</v>
      </c>
      <c r="C84" s="204">
        <v>2.13609467455621E-2</v>
      </c>
      <c r="D84" s="204">
        <v>1.6052453155818502E-2</v>
      </c>
      <c r="E84" s="197">
        <v>0.751486034164358</v>
      </c>
      <c r="G84" s="171" t="s">
        <v>26</v>
      </c>
      <c r="H84" s="196">
        <v>9.5552884615384595E-2</v>
      </c>
      <c r="I84" s="196">
        <v>0.38449704142011798</v>
      </c>
      <c r="J84" s="196">
        <v>0.28894415680473401</v>
      </c>
      <c r="K84" s="197">
        <v>0.751486034164358</v>
      </c>
      <c r="L84" s="177"/>
      <c r="M84" s="171" t="s">
        <v>26</v>
      </c>
      <c r="N84" s="204">
        <v>29.8125</v>
      </c>
      <c r="O84" s="204">
        <v>119.963076923077</v>
      </c>
      <c r="P84" s="204">
        <v>90.150576923076898</v>
      </c>
      <c r="Q84" s="197">
        <v>0.751486034164358</v>
      </c>
    </row>
    <row r="85" spans="1:17">
      <c r="A85" s="171" t="s">
        <v>27</v>
      </c>
      <c r="B85" s="204">
        <v>8.3974358974358995E-2</v>
      </c>
      <c r="C85" s="204">
        <v>0.41987179487179499</v>
      </c>
      <c r="D85" s="204">
        <v>0.33589743589743598</v>
      </c>
      <c r="E85" s="197">
        <v>0.8</v>
      </c>
      <c r="G85" s="171" t="s">
        <v>27</v>
      </c>
      <c r="H85" s="196">
        <v>1.5115384615384599</v>
      </c>
      <c r="I85" s="196">
        <v>7.5576923076923102</v>
      </c>
      <c r="J85" s="196">
        <v>6.0461538461538504</v>
      </c>
      <c r="K85" s="197">
        <v>0.8</v>
      </c>
      <c r="L85" s="177"/>
      <c r="M85" s="171" t="s">
        <v>27</v>
      </c>
      <c r="N85" s="204">
        <v>471.6</v>
      </c>
      <c r="O85" s="204">
        <v>2358</v>
      </c>
      <c r="P85" s="204">
        <v>1886.4</v>
      </c>
      <c r="Q85" s="197">
        <v>0.8</v>
      </c>
    </row>
    <row r="86" spans="1:17" s="172" customFormat="1">
      <c r="A86" s="164" t="s">
        <v>28</v>
      </c>
      <c r="B86" s="205">
        <v>363.379707425579</v>
      </c>
      <c r="C86" s="205">
        <v>395.84254849848702</v>
      </c>
      <c r="D86" s="205">
        <v>32.462841072907601</v>
      </c>
      <c r="E86" s="211">
        <v>8.2009478758778995E-2</v>
      </c>
      <c r="F86" s="163"/>
      <c r="G86" s="164" t="s">
        <v>28</v>
      </c>
      <c r="H86" s="205">
        <v>6540.8347336604202</v>
      </c>
      <c r="I86" s="205">
        <v>7125.1658729727596</v>
      </c>
      <c r="J86" s="205">
        <v>584.33113931233595</v>
      </c>
      <c r="K86" s="211">
        <v>8.2009478758778898E-2</v>
      </c>
      <c r="L86" s="177"/>
      <c r="M86" s="164" t="s">
        <v>28</v>
      </c>
      <c r="N86" s="205">
        <v>2040740.4369020499</v>
      </c>
      <c r="O86" s="205">
        <v>2223051.7523675002</v>
      </c>
      <c r="P86" s="205">
        <v>182311.31546544901</v>
      </c>
      <c r="Q86" s="211">
        <v>8.2009478758778898E-2</v>
      </c>
    </row>
    <row r="87" spans="1:17" hidden="1">
      <c r="A87" s="213" t="s">
        <v>29</v>
      </c>
      <c r="B87" s="214">
        <v>350.95235233877202</v>
      </c>
      <c r="C87" s="214">
        <v>358.33684337028097</v>
      </c>
      <c r="D87" s="214">
        <v>7.3844910315090004</v>
      </c>
      <c r="E87" s="197">
        <v>2.0607680086857202E-2</v>
      </c>
      <c r="G87" s="213" t="s">
        <v>29</v>
      </c>
      <c r="H87" s="214">
        <v>7720.9517514529898</v>
      </c>
      <c r="I87" s="214">
        <v>8151.0490156846499</v>
      </c>
      <c r="J87" s="214">
        <v>430.09726423165898</v>
      </c>
      <c r="K87" s="197">
        <v>5.2765878772663997E-2</v>
      </c>
      <c r="L87" s="177"/>
      <c r="M87" s="213" t="s">
        <v>29</v>
      </c>
      <c r="N87" s="214">
        <v>2408936.9464533301</v>
      </c>
      <c r="O87" s="214">
        <v>2402439.62198496</v>
      </c>
      <c r="P87" s="214">
        <v>-6497.3244683759403</v>
      </c>
      <c r="Q87" s="197">
        <v>-2.7044694105601199E-3</v>
      </c>
    </row>
    <row r="88" spans="1:17" hidden="1">
      <c r="A88" s="213" t="s">
        <v>30</v>
      </c>
      <c r="B88" s="214">
        <v>0.74894082279899599</v>
      </c>
      <c r="C88" s="214">
        <v>2.3668648018648</v>
      </c>
      <c r="D88" s="214">
        <v>1.61792397906581</v>
      </c>
      <c r="E88" s="197">
        <v>0.68357262222627901</v>
      </c>
      <c r="G88" s="213" t="s">
        <v>30</v>
      </c>
      <c r="H88" s="214">
        <v>16.476698101577899</v>
      </c>
      <c r="I88" s="214">
        <v>52.071025641025599</v>
      </c>
      <c r="J88" s="214">
        <v>35.594327539447697</v>
      </c>
      <c r="K88" s="197">
        <v>0.68357262222627901</v>
      </c>
      <c r="L88" s="177"/>
      <c r="M88" s="213" t="s">
        <v>30</v>
      </c>
      <c r="N88" s="214">
        <v>5140.7298076923098</v>
      </c>
      <c r="O88" s="214">
        <v>16246.16</v>
      </c>
      <c r="P88" s="214">
        <v>1996.5840384615401</v>
      </c>
      <c r="Q88" s="197">
        <v>0.122895751270549</v>
      </c>
    </row>
    <row r="89" spans="1:17">
      <c r="A89" s="215"/>
      <c r="B89" s="215"/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5"/>
      <c r="Q89" s="215"/>
    </row>
    <row r="91" spans="1:17">
      <c r="A91" s="178" t="s">
        <v>38</v>
      </c>
      <c r="B91" s="166" t="s">
        <v>8</v>
      </c>
      <c r="C91" s="166" t="s">
        <v>9</v>
      </c>
      <c r="D91" s="177"/>
      <c r="E91" s="177"/>
      <c r="F91" s="177"/>
      <c r="G91" s="178" t="s">
        <v>38</v>
      </c>
      <c r="H91" s="166" t="s">
        <v>8</v>
      </c>
      <c r="I91" s="166" t="s">
        <v>9</v>
      </c>
      <c r="J91" s="177"/>
      <c r="K91" s="177"/>
      <c r="L91" s="177"/>
      <c r="M91" s="178" t="s">
        <v>38</v>
      </c>
      <c r="N91" s="166" t="s">
        <v>8</v>
      </c>
      <c r="O91" s="166" t="s">
        <v>9</v>
      </c>
      <c r="P91" s="177"/>
    </row>
    <row r="92" spans="1:17">
      <c r="A92" s="200" t="s">
        <v>10</v>
      </c>
      <c r="B92" s="195">
        <v>20</v>
      </c>
      <c r="C92" s="195">
        <v>20</v>
      </c>
      <c r="D92" s="177"/>
      <c r="E92" s="201" t="s">
        <v>34</v>
      </c>
      <c r="F92" s="177"/>
      <c r="G92" s="200" t="s">
        <v>10</v>
      </c>
      <c r="H92" s="195">
        <v>20</v>
      </c>
      <c r="I92" s="195">
        <v>20</v>
      </c>
      <c r="J92" s="177"/>
      <c r="K92" s="201" t="s">
        <v>34</v>
      </c>
      <c r="L92" s="177"/>
      <c r="M92" s="200" t="s">
        <v>10</v>
      </c>
      <c r="N92" s="195">
        <v>20</v>
      </c>
      <c r="O92" s="195">
        <v>20</v>
      </c>
      <c r="P92" s="177"/>
      <c r="Q92" s="201" t="s">
        <v>34</v>
      </c>
    </row>
    <row r="93" spans="1:17">
      <c r="A93" s="165" t="s">
        <v>11</v>
      </c>
      <c r="B93" s="164" t="s">
        <v>12</v>
      </c>
      <c r="C93" s="164" t="s">
        <v>13</v>
      </c>
      <c r="D93" s="164" t="s">
        <v>14</v>
      </c>
      <c r="E93" s="164" t="s">
        <v>15</v>
      </c>
      <c r="G93" s="165" t="s">
        <v>11</v>
      </c>
      <c r="H93" s="164" t="s">
        <v>16</v>
      </c>
      <c r="I93" s="164" t="s">
        <v>17</v>
      </c>
      <c r="J93" s="164" t="s">
        <v>18</v>
      </c>
      <c r="K93" s="164" t="s">
        <v>15</v>
      </c>
      <c r="L93" s="177"/>
      <c r="M93" s="165" t="s">
        <v>11</v>
      </c>
      <c r="N93" s="164" t="s">
        <v>19</v>
      </c>
      <c r="O93" s="164" t="s">
        <v>20</v>
      </c>
      <c r="P93" s="164" t="s">
        <v>21</v>
      </c>
      <c r="Q93" s="164" t="s">
        <v>15</v>
      </c>
    </row>
    <row r="94" spans="1:17">
      <c r="A94" s="168" t="s">
        <v>22</v>
      </c>
      <c r="B94" s="196">
        <v>18.3426816239316</v>
      </c>
      <c r="C94" s="196">
        <v>37.813165364583298</v>
      </c>
      <c r="D94" s="196">
        <v>19.470483740651702</v>
      </c>
      <c r="E94" s="197">
        <v>0.51491282342864098</v>
      </c>
      <c r="G94" s="168" t="s">
        <v>22</v>
      </c>
      <c r="H94" s="196">
        <v>366.85363247863302</v>
      </c>
      <c r="I94" s="196">
        <v>756.26330729166705</v>
      </c>
      <c r="J94" s="196">
        <v>389.40967481303397</v>
      </c>
      <c r="K94" s="197">
        <v>0.51491282342864098</v>
      </c>
      <c r="L94" s="177"/>
      <c r="M94" s="168" t="s">
        <v>22</v>
      </c>
      <c r="N94" s="196">
        <v>114458.33333333299</v>
      </c>
      <c r="O94" s="196">
        <v>235954.15187500001</v>
      </c>
      <c r="P94" s="196">
        <v>121495.818541667</v>
      </c>
      <c r="Q94" s="197">
        <v>0.51491282342864098</v>
      </c>
    </row>
    <row r="95" spans="1:17">
      <c r="A95" s="168" t="s">
        <v>23</v>
      </c>
      <c r="B95" s="196">
        <v>92.195512820512803</v>
      </c>
      <c r="C95" s="196">
        <v>58.637820512820497</v>
      </c>
      <c r="D95" s="196">
        <v>-33.557692307692299</v>
      </c>
      <c r="E95" s="197">
        <v>-0.57228751024870195</v>
      </c>
      <c r="G95" s="168" t="s">
        <v>23</v>
      </c>
      <c r="H95" s="196">
        <v>1843.91025641026</v>
      </c>
      <c r="I95" s="196">
        <v>1172.7564102564099</v>
      </c>
      <c r="J95" s="196">
        <v>-671.15384615384596</v>
      </c>
      <c r="K95" s="197">
        <v>-0.57228751024870195</v>
      </c>
      <c r="L95" s="177"/>
      <c r="M95" s="168" t="s">
        <v>23</v>
      </c>
      <c r="N95" s="196">
        <v>575300</v>
      </c>
      <c r="O95" s="196">
        <v>365900</v>
      </c>
      <c r="P95" s="196">
        <v>-209400</v>
      </c>
      <c r="Q95" s="197">
        <v>-0.57228751024870195</v>
      </c>
    </row>
    <row r="96" spans="1:17">
      <c r="A96" s="168" t="s">
        <v>24</v>
      </c>
      <c r="B96" s="196">
        <v>245.58941663247899</v>
      </c>
      <c r="C96" s="196">
        <v>296.94835749287802</v>
      </c>
      <c r="D96" s="196">
        <v>51.358940860398903</v>
      </c>
      <c r="E96" s="197">
        <v>0.17295580044294701</v>
      </c>
      <c r="G96" s="168" t="s">
        <v>24</v>
      </c>
      <c r="H96" s="196">
        <v>4911.7883326495703</v>
      </c>
      <c r="I96" s="196">
        <v>5938.9671498575499</v>
      </c>
      <c r="J96" s="196">
        <v>1027.17881720798</v>
      </c>
      <c r="K96" s="197">
        <v>0.17295580044294601</v>
      </c>
      <c r="L96" s="177"/>
      <c r="M96" s="168" t="s">
        <v>24</v>
      </c>
      <c r="N96" s="196">
        <v>1532477.95978667</v>
      </c>
      <c r="O96" s="196">
        <v>1852957.7507555599</v>
      </c>
      <c r="P96" s="196">
        <v>320479.79096888902</v>
      </c>
      <c r="Q96" s="197">
        <v>0.17295580044294701</v>
      </c>
    </row>
    <row r="97" spans="1:17">
      <c r="A97" s="171" t="s">
        <v>25</v>
      </c>
      <c r="B97" s="204">
        <v>0.67492603550295904</v>
      </c>
      <c r="C97" s="204">
        <v>2.0019723865877701</v>
      </c>
      <c r="D97" s="204">
        <v>1.3270463510848101</v>
      </c>
      <c r="E97" s="197">
        <v>0.66286945812807896</v>
      </c>
      <c r="G97" s="171" t="s">
        <v>25</v>
      </c>
      <c r="H97" s="196">
        <v>13.4985207100592</v>
      </c>
      <c r="I97" s="196">
        <v>40.039447731755402</v>
      </c>
      <c r="J97" s="196">
        <v>26.540927021696199</v>
      </c>
      <c r="K97" s="197">
        <v>0.66286945812807896</v>
      </c>
      <c r="L97" s="177"/>
      <c r="M97" s="171" t="s">
        <v>25</v>
      </c>
      <c r="N97" s="204">
        <v>4211.5384615384601</v>
      </c>
      <c r="O97" s="204">
        <v>12492.307692307701</v>
      </c>
      <c r="P97" s="204">
        <v>8280.7692307692305</v>
      </c>
      <c r="Q97" s="197">
        <v>0.66286945812807896</v>
      </c>
    </row>
    <row r="98" spans="1:17">
      <c r="A98" s="171" t="s">
        <v>26</v>
      </c>
      <c r="B98" s="204">
        <v>5.30849358974359E-3</v>
      </c>
      <c r="C98" s="204">
        <v>2.13609467455621E-2</v>
      </c>
      <c r="D98" s="204">
        <v>1.6052453155818502E-2</v>
      </c>
      <c r="E98" s="197">
        <v>0.751486034164358</v>
      </c>
      <c r="G98" s="171" t="s">
        <v>26</v>
      </c>
      <c r="H98" s="196">
        <v>0.106169871794872</v>
      </c>
      <c r="I98" s="196">
        <v>0.42721893491124302</v>
      </c>
      <c r="J98" s="196">
        <v>0.32104906311637099</v>
      </c>
      <c r="K98" s="197">
        <v>0.751486034164358</v>
      </c>
      <c r="L98" s="177"/>
      <c r="M98" s="171" t="s">
        <v>26</v>
      </c>
      <c r="N98" s="204">
        <v>33.125</v>
      </c>
      <c r="O98" s="204">
        <v>133.29230769230799</v>
      </c>
      <c r="P98" s="204">
        <v>100.167307692308</v>
      </c>
      <c r="Q98" s="197">
        <v>0.751486034164358</v>
      </c>
    </row>
    <row r="99" spans="1:17">
      <c r="A99" s="171" t="s">
        <v>27</v>
      </c>
      <c r="B99" s="204">
        <v>7.5576923076923097E-2</v>
      </c>
      <c r="C99" s="204">
        <v>0.37788461538461499</v>
      </c>
      <c r="D99" s="204">
        <v>0.302307692307692</v>
      </c>
      <c r="E99" s="197">
        <v>0.8</v>
      </c>
      <c r="G99" s="171" t="s">
        <v>27</v>
      </c>
      <c r="H99" s="196">
        <v>1.5115384615384599</v>
      </c>
      <c r="I99" s="196">
        <v>7.5576923076923102</v>
      </c>
      <c r="J99" s="196">
        <v>6.0461538461538504</v>
      </c>
      <c r="K99" s="197">
        <v>0.8</v>
      </c>
      <c r="L99" s="177"/>
      <c r="M99" s="171" t="s">
        <v>27</v>
      </c>
      <c r="N99" s="204">
        <v>471.6</v>
      </c>
      <c r="O99" s="204">
        <v>2358</v>
      </c>
      <c r="P99" s="204">
        <v>1886.4</v>
      </c>
      <c r="Q99" s="197">
        <v>0.8</v>
      </c>
    </row>
    <row r="100" spans="1:17" s="172" customFormat="1">
      <c r="A100" s="164" t="s">
        <v>28</v>
      </c>
      <c r="B100" s="205">
        <v>356.88342252909302</v>
      </c>
      <c r="C100" s="205">
        <v>395.80056131899897</v>
      </c>
      <c r="D100" s="205">
        <v>38.917138789906602</v>
      </c>
      <c r="E100" s="211">
        <v>9.8325122784606006E-2</v>
      </c>
      <c r="F100" s="163"/>
      <c r="G100" s="164" t="s">
        <v>28</v>
      </c>
      <c r="H100" s="205">
        <v>7137.6684505818503</v>
      </c>
      <c r="I100" s="205">
        <v>7916.0112263799801</v>
      </c>
      <c r="J100" s="205">
        <v>778.34277579812999</v>
      </c>
      <c r="K100" s="211">
        <v>9.8325122784605895E-2</v>
      </c>
      <c r="L100" s="177"/>
      <c r="M100" s="164" t="s">
        <v>28</v>
      </c>
      <c r="N100" s="205">
        <v>2226952.55658154</v>
      </c>
      <c r="O100" s="205">
        <v>2469795.5026305602</v>
      </c>
      <c r="P100" s="205">
        <v>242842.94604901699</v>
      </c>
      <c r="Q100" s="211">
        <v>9.8325122784606006E-2</v>
      </c>
    </row>
    <row r="101" spans="1:17" hidden="1">
      <c r="A101" s="213" t="s">
        <v>29</v>
      </c>
      <c r="B101" s="214">
        <f>SUM(B94:B96)</f>
        <v>356.12761107692302</v>
      </c>
      <c r="C101" s="214">
        <f>SUM(C94:C96)</f>
        <v>393.39934337028097</v>
      </c>
      <c r="D101" s="214">
        <f>SUM(D94:D96)</f>
        <v>37.271732293358298</v>
      </c>
      <c r="E101" s="197">
        <f>D101/C101</f>
        <v>9.4742741495317695E-2</v>
      </c>
      <c r="G101" s="213" t="s">
        <v>29</v>
      </c>
      <c r="H101" s="214">
        <f>SUM(H94:H96)</f>
        <v>7122.5522215384599</v>
      </c>
      <c r="I101" s="214">
        <f>SUM(I94:I96)</f>
        <v>7867.9868674056297</v>
      </c>
      <c r="J101" s="214">
        <f>SUM(J94:J96)</f>
        <v>745.43464586716402</v>
      </c>
      <c r="K101" s="197">
        <f>J101/I101</f>
        <v>9.4742741495317501E-2</v>
      </c>
      <c r="L101" s="177"/>
      <c r="M101" s="213" t="s">
        <v>29</v>
      </c>
      <c r="N101" s="214">
        <f>SUM(N94:N96)</f>
        <v>2222236.29312</v>
      </c>
      <c r="O101" s="214">
        <f>SUM(O94:O96)</f>
        <v>2454811.9026305601</v>
      </c>
      <c r="P101" s="214">
        <f>SUM(P94:P96)</f>
        <v>232575.60951055601</v>
      </c>
      <c r="Q101" s="197">
        <f>P101/O101</f>
        <v>9.4742741495317598E-2</v>
      </c>
    </row>
    <row r="102" spans="1:17" hidden="1">
      <c r="A102" s="213" t="s">
        <v>30</v>
      </c>
      <c r="B102" s="214">
        <f>SUM(B97:B99)</f>
        <v>0.75581145216962498</v>
      </c>
      <c r="C102" s="214">
        <f>SUM(C97:C99)</f>
        <v>2.4012179487179499</v>
      </c>
      <c r="D102" s="214">
        <f>SUM(D97:D99)</f>
        <v>1.6454064965483199</v>
      </c>
      <c r="E102" s="197">
        <f>D102/C102</f>
        <v>0.685238296434871</v>
      </c>
      <c r="G102" s="213" t="s">
        <v>30</v>
      </c>
      <c r="H102" s="214">
        <f>SUM(H97:H99)</f>
        <v>15.116229043392501</v>
      </c>
      <c r="I102" s="214">
        <f>SUM(I97:I99)</f>
        <v>48.024358974358996</v>
      </c>
      <c r="J102" s="214">
        <f>SUM(J97:J99)</f>
        <v>32.908129930966503</v>
      </c>
      <c r="K102" s="197">
        <f>J102/I102</f>
        <v>0.685238296434871</v>
      </c>
      <c r="L102" s="177"/>
      <c r="M102" s="213" t="s">
        <v>30</v>
      </c>
      <c r="N102" s="214">
        <f>SUM(N97:N99)</f>
        <v>4716.2634615384604</v>
      </c>
      <c r="O102" s="214">
        <f>SUM(O97:O99)</f>
        <v>14983.6</v>
      </c>
      <c r="P102" s="214">
        <f>SUM(P97:P99)</f>
        <v>10267.336538461501</v>
      </c>
      <c r="Q102" s="197">
        <f>P102/O102</f>
        <v>0.685238296434871</v>
      </c>
    </row>
    <row r="103" spans="1:17">
      <c r="A103" s="215"/>
      <c r="B103" s="215"/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</row>
    <row r="105" spans="1:17">
      <c r="A105" s="178" t="s">
        <v>39</v>
      </c>
      <c r="B105" s="166" t="s">
        <v>8</v>
      </c>
      <c r="C105" s="166" t="s">
        <v>9</v>
      </c>
      <c r="D105" s="177"/>
      <c r="E105" s="177"/>
      <c r="F105" s="177"/>
      <c r="G105" s="178" t="s">
        <v>39</v>
      </c>
      <c r="H105" s="166" t="s">
        <v>8</v>
      </c>
      <c r="I105" s="166" t="s">
        <v>9</v>
      </c>
      <c r="J105" s="177"/>
      <c r="K105" s="177"/>
      <c r="L105" s="177"/>
      <c r="M105" s="178" t="s">
        <v>39</v>
      </c>
      <c r="N105" s="166" t="s">
        <v>8</v>
      </c>
      <c r="O105" s="166" t="s">
        <v>9</v>
      </c>
      <c r="P105" s="177"/>
    </row>
    <row r="106" spans="1:17">
      <c r="A106" s="200" t="s">
        <v>10</v>
      </c>
      <c r="B106" s="195">
        <v>22</v>
      </c>
      <c r="C106" s="195">
        <v>22</v>
      </c>
      <c r="D106" s="177"/>
      <c r="E106" s="201" t="s">
        <v>34</v>
      </c>
      <c r="F106" s="177"/>
      <c r="G106" s="200" t="s">
        <v>10</v>
      </c>
      <c r="H106" s="195">
        <v>22</v>
      </c>
      <c r="I106" s="195">
        <v>22</v>
      </c>
      <c r="J106" s="177"/>
      <c r="K106" s="201" t="s">
        <v>34</v>
      </c>
      <c r="L106" s="177"/>
      <c r="M106" s="200" t="s">
        <v>10</v>
      </c>
      <c r="N106" s="195">
        <v>22</v>
      </c>
      <c r="O106" s="195">
        <v>22</v>
      </c>
      <c r="P106" s="177"/>
      <c r="Q106" s="201" t="s">
        <v>34</v>
      </c>
    </row>
    <row r="107" spans="1:17">
      <c r="A107" s="165" t="s">
        <v>11</v>
      </c>
      <c r="B107" s="164" t="s">
        <v>12</v>
      </c>
      <c r="C107" s="164" t="s">
        <v>13</v>
      </c>
      <c r="D107" s="164" t="s">
        <v>14</v>
      </c>
      <c r="E107" s="164" t="s">
        <v>15</v>
      </c>
      <c r="G107" s="165" t="s">
        <v>11</v>
      </c>
      <c r="H107" s="164" t="s">
        <v>16</v>
      </c>
      <c r="I107" s="164" t="s">
        <v>17</v>
      </c>
      <c r="J107" s="164" t="s">
        <v>18</v>
      </c>
      <c r="K107" s="164" t="s">
        <v>15</v>
      </c>
      <c r="L107" s="177"/>
      <c r="M107" s="165" t="s">
        <v>11</v>
      </c>
      <c r="N107" s="164" t="s">
        <v>19</v>
      </c>
      <c r="O107" s="164" t="s">
        <v>20</v>
      </c>
      <c r="P107" s="164" t="s">
        <v>21</v>
      </c>
      <c r="Q107" s="164" t="s">
        <v>15</v>
      </c>
    </row>
    <row r="108" spans="1:17">
      <c r="A108" s="168" t="s">
        <v>22</v>
      </c>
      <c r="B108" s="196">
        <v>18.309294871794901</v>
      </c>
      <c r="C108" s="196">
        <v>37.813165364583298</v>
      </c>
      <c r="D108" s="196">
        <v>19.503870492788501</v>
      </c>
      <c r="E108" s="197">
        <v>0.51579576332047095</v>
      </c>
      <c r="G108" s="168" t="s">
        <v>22</v>
      </c>
      <c r="H108" s="196">
        <v>402.80448717948701</v>
      </c>
      <c r="I108" s="196">
        <v>831.88963802083299</v>
      </c>
      <c r="J108" s="196">
        <v>429.08515084134598</v>
      </c>
      <c r="K108" s="197">
        <v>0.51579576332047095</v>
      </c>
      <c r="L108" s="177"/>
      <c r="M108" s="168" t="s">
        <v>22</v>
      </c>
      <c r="N108" s="196">
        <v>125675</v>
      </c>
      <c r="O108" s="196">
        <v>259549.56706249999</v>
      </c>
      <c r="P108" s="196">
        <v>133874.56706249999</v>
      </c>
      <c r="Q108" s="197">
        <v>0.51579576332047095</v>
      </c>
    </row>
    <row r="109" spans="1:17">
      <c r="A109" s="168" t="s">
        <v>23</v>
      </c>
      <c r="B109" s="196">
        <v>88.330419580419601</v>
      </c>
      <c r="C109" s="196">
        <v>58.637820512820497</v>
      </c>
      <c r="D109" s="196">
        <v>-29.692599067599101</v>
      </c>
      <c r="E109" s="197">
        <v>-0.50637282913861204</v>
      </c>
      <c r="G109" s="168" t="s">
        <v>23</v>
      </c>
      <c r="H109" s="196">
        <v>1943.26923076923</v>
      </c>
      <c r="I109" s="196">
        <v>1290.0320512820499</v>
      </c>
      <c r="J109" s="196">
        <v>-653.23717948717899</v>
      </c>
      <c r="K109" s="197">
        <v>-0.50637282913861204</v>
      </c>
      <c r="L109" s="177"/>
      <c r="M109" s="168" t="s">
        <v>23</v>
      </c>
      <c r="N109" s="196">
        <v>606300</v>
      </c>
      <c r="O109" s="196">
        <v>402490</v>
      </c>
      <c r="P109" s="196">
        <v>-203810</v>
      </c>
      <c r="Q109" s="197">
        <v>-0.50637282913861204</v>
      </c>
    </row>
    <row r="110" spans="1:17">
      <c r="A110" s="168" t="s">
        <v>24</v>
      </c>
      <c r="B110" s="196">
        <v>244.17962506604499</v>
      </c>
      <c r="C110" s="196">
        <v>296.94835749287802</v>
      </c>
      <c r="D110" s="196">
        <v>52.7687324268325</v>
      </c>
      <c r="E110" s="197">
        <v>0.17770339890867401</v>
      </c>
      <c r="G110" s="168" t="s">
        <v>24</v>
      </c>
      <c r="H110" s="196">
        <v>5371.9517514529898</v>
      </c>
      <c r="I110" s="196">
        <v>6532.8638648432998</v>
      </c>
      <c r="J110" s="196">
        <v>1160.91211339031</v>
      </c>
      <c r="K110" s="197">
        <v>0.17770339890867401</v>
      </c>
      <c r="L110" s="177"/>
      <c r="M110" s="168" t="s">
        <v>24</v>
      </c>
      <c r="N110" s="196">
        <v>1676048.9464533301</v>
      </c>
      <c r="O110" s="196">
        <v>2038253.5258311101</v>
      </c>
      <c r="P110" s="196">
        <v>362204.57937777799</v>
      </c>
      <c r="Q110" s="197">
        <v>0.17770339890867401</v>
      </c>
    </row>
    <row r="111" spans="1:17">
      <c r="A111" s="171" t="s">
        <v>25</v>
      </c>
      <c r="B111" s="204">
        <v>0.67492603550295904</v>
      </c>
      <c r="C111" s="204">
        <v>2.0019723865877701</v>
      </c>
      <c r="D111" s="204">
        <v>1.3270463510848101</v>
      </c>
      <c r="E111" s="197">
        <v>0.66286945812807896</v>
      </c>
      <c r="G111" s="171" t="s">
        <v>25</v>
      </c>
      <c r="H111" s="196">
        <v>14.8483727810651</v>
      </c>
      <c r="I111" s="196">
        <v>44.043392504930999</v>
      </c>
      <c r="J111" s="196">
        <v>29.195019723865901</v>
      </c>
      <c r="K111" s="197">
        <v>0.66286945812807896</v>
      </c>
      <c r="L111" s="177"/>
      <c r="M111" s="171" t="s">
        <v>25</v>
      </c>
      <c r="N111" s="204">
        <v>4632.6923076923104</v>
      </c>
      <c r="O111" s="204">
        <v>13741.538461538499</v>
      </c>
      <c r="P111" s="204">
        <v>9108.8461538461506</v>
      </c>
      <c r="Q111" s="197">
        <v>0.66286945812807896</v>
      </c>
    </row>
    <row r="112" spans="1:17">
      <c r="A112" s="171" t="s">
        <v>26</v>
      </c>
      <c r="B112" s="204">
        <v>5.30849358974359E-3</v>
      </c>
      <c r="C112" s="204">
        <v>2.13609467455621E-2</v>
      </c>
      <c r="D112" s="204">
        <v>1.6052453155818502E-2</v>
      </c>
      <c r="E112" s="197">
        <v>0.751486034164358</v>
      </c>
      <c r="G112" s="171" t="s">
        <v>26</v>
      </c>
      <c r="H112" s="196">
        <v>0.116786858974359</v>
      </c>
      <c r="I112" s="196">
        <v>0.46994082840236701</v>
      </c>
      <c r="J112" s="196">
        <v>0.35315396942800797</v>
      </c>
      <c r="K112" s="197">
        <v>0.751486034164358</v>
      </c>
      <c r="L112" s="177"/>
      <c r="M112" s="171" t="s">
        <v>26</v>
      </c>
      <c r="N112" s="204">
        <v>36.4375</v>
      </c>
      <c r="O112" s="204">
        <v>146.62153846153799</v>
      </c>
      <c r="P112" s="204">
        <v>110.18403846153799</v>
      </c>
      <c r="Q112" s="197">
        <v>0.751486034164358</v>
      </c>
    </row>
    <row r="113" spans="1:17">
      <c r="A113" s="171" t="s">
        <v>27</v>
      </c>
      <c r="B113" s="204">
        <v>6.8706293706293706E-2</v>
      </c>
      <c r="C113" s="204">
        <v>0.34353146853146899</v>
      </c>
      <c r="D113" s="204">
        <v>0.27482517482517499</v>
      </c>
      <c r="E113" s="197">
        <v>0.8</v>
      </c>
      <c r="G113" s="171" t="s">
        <v>27</v>
      </c>
      <c r="H113" s="196">
        <v>1.5115384615384599</v>
      </c>
      <c r="I113" s="196">
        <v>7.5576923076923102</v>
      </c>
      <c r="J113" s="196">
        <v>6.0461538461538504</v>
      </c>
      <c r="K113" s="197">
        <v>0.8</v>
      </c>
      <c r="L113" s="177"/>
      <c r="M113" s="171" t="s">
        <v>27</v>
      </c>
      <c r="N113" s="204">
        <v>471.6</v>
      </c>
      <c r="O113" s="204">
        <v>2358</v>
      </c>
      <c r="P113" s="204">
        <v>1886.4</v>
      </c>
      <c r="Q113" s="197">
        <v>0.8</v>
      </c>
    </row>
    <row r="114" spans="1:17" s="172" customFormat="1">
      <c r="A114" s="164" t="s">
        <v>28</v>
      </c>
      <c r="B114" s="205">
        <v>351.56828034105803</v>
      </c>
      <c r="C114" s="205">
        <v>395.76620817214598</v>
      </c>
      <c r="D114" s="205">
        <v>44.197927831087704</v>
      </c>
      <c r="E114" s="211">
        <v>0.11167686103171</v>
      </c>
      <c r="F114" s="163"/>
      <c r="G114" s="164" t="s">
        <v>28</v>
      </c>
      <c r="H114" s="205">
        <v>7734.5021675032904</v>
      </c>
      <c r="I114" s="205">
        <v>8706.8565797872106</v>
      </c>
      <c r="J114" s="205">
        <v>972.35441228392597</v>
      </c>
      <c r="K114" s="211">
        <v>0.11167686103171</v>
      </c>
      <c r="L114" s="177"/>
      <c r="M114" s="164" t="s">
        <v>28</v>
      </c>
      <c r="N114" s="205">
        <v>2413164.6762610301</v>
      </c>
      <c r="O114" s="205">
        <v>2716539.2528936099</v>
      </c>
      <c r="P114" s="205">
        <v>303374.57663258602</v>
      </c>
      <c r="Q114" s="211">
        <v>0.11167686103171</v>
      </c>
    </row>
    <row r="115" spans="1:17" hidden="1">
      <c r="A115" s="213" t="s">
        <v>29</v>
      </c>
      <c r="B115" s="214">
        <v>350.81933951825903</v>
      </c>
      <c r="C115" s="214">
        <v>372.48267670361503</v>
      </c>
      <c r="D115" s="214">
        <v>21.6633371853552</v>
      </c>
      <c r="E115" s="197">
        <v>5.8159314621207797E-2</v>
      </c>
      <c r="G115" s="213" t="s">
        <v>29</v>
      </c>
      <c r="H115" s="214">
        <v>7718.0254694017103</v>
      </c>
      <c r="I115" s="214">
        <v>8462.2573490179802</v>
      </c>
      <c r="J115" s="214">
        <v>744.231879616274</v>
      </c>
      <c r="K115" s="197">
        <v>8.79472047375916E-2</v>
      </c>
      <c r="L115" s="177"/>
      <c r="M115" s="213" t="s">
        <v>29</v>
      </c>
      <c r="N115" s="214">
        <v>2408023.9464533301</v>
      </c>
      <c r="O115" s="214">
        <v>2499536.62198496</v>
      </c>
      <c r="P115" s="214">
        <v>91512.675531624001</v>
      </c>
      <c r="Q115" s="197">
        <v>3.6611856264362697E-2</v>
      </c>
    </row>
    <row r="116" spans="1:17" hidden="1">
      <c r="A116" s="213" t="s">
        <v>30</v>
      </c>
      <c r="B116" s="214">
        <v>0.74894082279899599</v>
      </c>
      <c r="C116" s="214">
        <v>2.3668648018648</v>
      </c>
      <c r="D116" s="214">
        <v>1.61792397906581</v>
      </c>
      <c r="E116" s="197">
        <v>0.68357262222627901</v>
      </c>
      <c r="G116" s="213" t="s">
        <v>30</v>
      </c>
      <c r="H116" s="214">
        <v>16.476698101577899</v>
      </c>
      <c r="I116" s="214">
        <v>52.071025641025599</v>
      </c>
      <c r="J116" s="214">
        <v>35.594327539447697</v>
      </c>
      <c r="K116" s="197">
        <v>0.68357262222627901</v>
      </c>
      <c r="L116" s="177"/>
      <c r="M116" s="213" t="s">
        <v>30</v>
      </c>
      <c r="N116" s="214">
        <v>5140.7298076923098</v>
      </c>
      <c r="O116" s="214">
        <v>16246.16</v>
      </c>
      <c r="P116" s="214">
        <v>1996.5840384615401</v>
      </c>
      <c r="Q116" s="197">
        <v>0.122895751270549</v>
      </c>
    </row>
    <row r="117" spans="1:17">
      <c r="A117" s="215"/>
      <c r="B117" s="215"/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  <c r="P117" s="215"/>
      <c r="Q117" s="215"/>
    </row>
    <row r="119" spans="1:17">
      <c r="A119" s="178" t="s">
        <v>40</v>
      </c>
      <c r="B119" s="166" t="s">
        <v>8</v>
      </c>
      <c r="C119" s="166" t="s">
        <v>9</v>
      </c>
      <c r="D119" s="177"/>
      <c r="E119" s="177"/>
      <c r="F119" s="177"/>
      <c r="G119" s="178" t="s">
        <v>40</v>
      </c>
      <c r="H119" s="166" t="s">
        <v>8</v>
      </c>
      <c r="I119" s="166" t="s">
        <v>9</v>
      </c>
      <c r="J119" s="177"/>
      <c r="K119" s="177"/>
      <c r="L119" s="177"/>
      <c r="M119" s="178" t="s">
        <v>40</v>
      </c>
      <c r="N119" s="166" t="s">
        <v>8</v>
      </c>
      <c r="O119" s="166" t="s">
        <v>9</v>
      </c>
      <c r="P119" s="177"/>
    </row>
    <row r="120" spans="1:17">
      <c r="A120" s="200" t="s">
        <v>10</v>
      </c>
      <c r="B120" s="195">
        <v>24</v>
      </c>
      <c r="C120" s="195">
        <v>24</v>
      </c>
      <c r="D120" s="177"/>
      <c r="E120" s="201" t="s">
        <v>34</v>
      </c>
      <c r="F120" s="177"/>
      <c r="G120" s="200" t="s">
        <v>10</v>
      </c>
      <c r="H120" s="195">
        <v>24</v>
      </c>
      <c r="I120" s="195">
        <v>24</v>
      </c>
      <c r="J120" s="177"/>
      <c r="K120" s="201" t="s">
        <v>34</v>
      </c>
      <c r="L120" s="177"/>
      <c r="M120" s="200" t="s">
        <v>10</v>
      </c>
      <c r="N120" s="195">
        <v>24</v>
      </c>
      <c r="O120" s="195">
        <v>24</v>
      </c>
      <c r="P120" s="177"/>
      <c r="Q120" s="201" t="s">
        <v>34</v>
      </c>
    </row>
    <row r="121" spans="1:17">
      <c r="A121" s="165" t="s">
        <v>11</v>
      </c>
      <c r="B121" s="164" t="s">
        <v>12</v>
      </c>
      <c r="C121" s="164" t="s">
        <v>13</v>
      </c>
      <c r="D121" s="164" t="s">
        <v>14</v>
      </c>
      <c r="E121" s="164" t="s">
        <v>15</v>
      </c>
      <c r="G121" s="165" t="s">
        <v>11</v>
      </c>
      <c r="H121" s="164" t="s">
        <v>16</v>
      </c>
      <c r="I121" s="164" t="s">
        <v>17</v>
      </c>
      <c r="J121" s="164" t="s">
        <v>18</v>
      </c>
      <c r="K121" s="164" t="s">
        <v>15</v>
      </c>
      <c r="L121" s="177"/>
      <c r="M121" s="165" t="s">
        <v>11</v>
      </c>
      <c r="N121" s="164" t="s">
        <v>19</v>
      </c>
      <c r="O121" s="164" t="s">
        <v>20</v>
      </c>
      <c r="P121" s="164" t="s">
        <v>21</v>
      </c>
      <c r="Q121" s="164" t="s">
        <v>15</v>
      </c>
    </row>
    <row r="122" spans="1:17">
      <c r="A122" s="168" t="s">
        <v>22</v>
      </c>
      <c r="B122" s="196">
        <v>18.2814725783476</v>
      </c>
      <c r="C122" s="196">
        <v>37.813165364583298</v>
      </c>
      <c r="D122" s="196">
        <v>19.531692786235801</v>
      </c>
      <c r="E122" s="197">
        <v>0.51653154656366296</v>
      </c>
      <c r="G122" s="168" t="s">
        <v>22</v>
      </c>
      <c r="H122" s="196">
        <v>438.75534188034197</v>
      </c>
      <c r="I122" s="196">
        <v>907.51596874999996</v>
      </c>
      <c r="J122" s="196">
        <v>468.76062686965798</v>
      </c>
      <c r="K122" s="197">
        <v>0.51653154656366296</v>
      </c>
      <c r="L122" s="177"/>
      <c r="M122" s="168" t="s">
        <v>22</v>
      </c>
      <c r="N122" s="196">
        <v>136891.66666666701</v>
      </c>
      <c r="O122" s="196">
        <v>283144.98225</v>
      </c>
      <c r="P122" s="196">
        <v>146253.31558333299</v>
      </c>
      <c r="Q122" s="197">
        <v>0.51653154656366296</v>
      </c>
    </row>
    <row r="123" spans="1:17">
      <c r="A123" s="168" t="s">
        <v>23</v>
      </c>
      <c r="B123" s="196">
        <v>85.109508547008502</v>
      </c>
      <c r="C123" s="196">
        <v>58.637820512820497</v>
      </c>
      <c r="D123" s="196">
        <v>-26.471688034187999</v>
      </c>
      <c r="E123" s="197">
        <v>-0.45144392821353702</v>
      </c>
      <c r="G123" s="168" t="s">
        <v>23</v>
      </c>
      <c r="H123" s="196">
        <v>2042.6282051282101</v>
      </c>
      <c r="I123" s="196">
        <v>1407.3076923076901</v>
      </c>
      <c r="J123" s="196">
        <v>-635.32051282051304</v>
      </c>
      <c r="K123" s="197">
        <v>-0.45144392821353702</v>
      </c>
      <c r="L123" s="177"/>
      <c r="M123" s="168" t="s">
        <v>23</v>
      </c>
      <c r="N123" s="196">
        <v>637300</v>
      </c>
      <c r="O123" s="196">
        <v>439080</v>
      </c>
      <c r="P123" s="196">
        <v>-198220</v>
      </c>
      <c r="Q123" s="197">
        <v>-0.45144392821353702</v>
      </c>
    </row>
    <row r="124" spans="1:17">
      <c r="A124" s="168" t="s">
        <v>24</v>
      </c>
      <c r="B124" s="196">
        <v>243.004798760684</v>
      </c>
      <c r="C124" s="196">
        <v>296.94835749287802</v>
      </c>
      <c r="D124" s="196">
        <v>53.9435587321938</v>
      </c>
      <c r="E124" s="197">
        <v>0.18165973096344801</v>
      </c>
      <c r="G124" s="168" t="s">
        <v>24</v>
      </c>
      <c r="H124" s="196">
        <v>5832.1151702564102</v>
      </c>
      <c r="I124" s="196">
        <v>7126.7605798290597</v>
      </c>
      <c r="J124" s="196">
        <v>1294.6454095726499</v>
      </c>
      <c r="K124" s="197">
        <v>0.18165973096344701</v>
      </c>
      <c r="L124" s="177"/>
      <c r="M124" s="168" t="s">
        <v>24</v>
      </c>
      <c r="N124" s="196">
        <v>1819619.9331199999</v>
      </c>
      <c r="O124" s="196">
        <v>2223549.3009066698</v>
      </c>
      <c r="P124" s="196">
        <v>403929.36778666702</v>
      </c>
      <c r="Q124" s="197">
        <v>0.18165973096344701</v>
      </c>
    </row>
    <row r="125" spans="1:17">
      <c r="A125" s="171" t="s">
        <v>25</v>
      </c>
      <c r="B125" s="204">
        <v>0.67492603550295904</v>
      </c>
      <c r="C125" s="204">
        <v>2.0019723865877701</v>
      </c>
      <c r="D125" s="204">
        <v>1.3270463510848101</v>
      </c>
      <c r="E125" s="197">
        <v>0.66286945812807896</v>
      </c>
      <c r="G125" s="171" t="s">
        <v>25</v>
      </c>
      <c r="H125" s="196">
        <v>16.198224852071</v>
      </c>
      <c r="I125" s="196">
        <v>48.047337278106497</v>
      </c>
      <c r="J125" s="196">
        <v>31.8491124260355</v>
      </c>
      <c r="K125" s="197">
        <v>0.66286945812807896</v>
      </c>
      <c r="L125" s="177"/>
      <c r="M125" s="171" t="s">
        <v>25</v>
      </c>
      <c r="N125" s="204">
        <v>5053.8461538461497</v>
      </c>
      <c r="O125" s="204">
        <v>14990.7692307692</v>
      </c>
      <c r="P125" s="204">
        <v>9936.9230769230799</v>
      </c>
      <c r="Q125" s="197">
        <v>0.66286945812807896</v>
      </c>
    </row>
    <row r="126" spans="1:17">
      <c r="A126" s="171" t="s">
        <v>26</v>
      </c>
      <c r="B126" s="204">
        <v>5.30849358974359E-3</v>
      </c>
      <c r="C126" s="204">
        <v>2.13609467455621E-2</v>
      </c>
      <c r="D126" s="204">
        <v>1.6052453155818502E-2</v>
      </c>
      <c r="E126" s="197">
        <v>0.751486034164358</v>
      </c>
      <c r="G126" s="171" t="s">
        <v>26</v>
      </c>
      <c r="H126" s="196">
        <v>0.12740384615384601</v>
      </c>
      <c r="I126" s="196">
        <v>0.51266272189349105</v>
      </c>
      <c r="J126" s="196">
        <v>0.38525887573964501</v>
      </c>
      <c r="K126" s="197">
        <v>0.751486034164358</v>
      </c>
      <c r="L126" s="177"/>
      <c r="M126" s="171" t="s">
        <v>26</v>
      </c>
      <c r="N126" s="204">
        <v>39.75</v>
      </c>
      <c r="O126" s="204">
        <v>159.950769230769</v>
      </c>
      <c r="P126" s="204">
        <v>120.200769230769</v>
      </c>
      <c r="Q126" s="197">
        <v>0.751486034164358</v>
      </c>
    </row>
    <row r="127" spans="1:17">
      <c r="A127" s="171" t="s">
        <v>27</v>
      </c>
      <c r="B127" s="204">
        <v>6.2980769230769201E-2</v>
      </c>
      <c r="C127" s="204">
        <v>0.31490384615384598</v>
      </c>
      <c r="D127" s="204">
        <v>0.25192307692307703</v>
      </c>
      <c r="E127" s="197">
        <v>0.8</v>
      </c>
      <c r="G127" s="171" t="s">
        <v>27</v>
      </c>
      <c r="H127" s="196">
        <v>1.5115384615384599</v>
      </c>
      <c r="I127" s="196">
        <v>7.5576923076923102</v>
      </c>
      <c r="J127" s="196">
        <v>6.0461538461538504</v>
      </c>
      <c r="K127" s="197">
        <v>0.8</v>
      </c>
      <c r="L127" s="177"/>
      <c r="M127" s="171" t="s">
        <v>27</v>
      </c>
      <c r="N127" s="204">
        <v>471.6</v>
      </c>
      <c r="O127" s="204">
        <v>2358</v>
      </c>
      <c r="P127" s="204">
        <v>1886.4</v>
      </c>
      <c r="Q127" s="197">
        <v>0.8</v>
      </c>
    </row>
    <row r="128" spans="1:17" s="172" customFormat="1">
      <c r="A128" s="164" t="s">
        <v>28</v>
      </c>
      <c r="B128" s="205">
        <v>347.13899518436301</v>
      </c>
      <c r="C128" s="205">
        <v>395.73758054976901</v>
      </c>
      <c r="D128" s="205">
        <v>48.598585365405199</v>
      </c>
      <c r="E128" s="211">
        <v>0.12280508032088</v>
      </c>
      <c r="F128" s="163"/>
      <c r="G128" s="164" t="s">
        <v>28</v>
      </c>
      <c r="H128" s="205">
        <v>8331.3358844247196</v>
      </c>
      <c r="I128" s="205">
        <v>9497.7019331944502</v>
      </c>
      <c r="J128" s="205">
        <v>1166.36604876972</v>
      </c>
      <c r="K128" s="211">
        <v>0.12280508032088</v>
      </c>
      <c r="L128" s="177"/>
      <c r="M128" s="164" t="s">
        <v>28</v>
      </c>
      <c r="N128" s="205">
        <v>2599376.79594051</v>
      </c>
      <c r="O128" s="205">
        <v>2963283.0031566699</v>
      </c>
      <c r="P128" s="205">
        <v>363906.20721615403</v>
      </c>
      <c r="Q128" s="211">
        <v>0.12280508032088</v>
      </c>
    </row>
    <row r="129" spans="1:17" hidden="1">
      <c r="A129" s="213" t="s">
        <v>29</v>
      </c>
      <c r="B129" s="214">
        <v>346.39577988603997</v>
      </c>
      <c r="C129" s="214">
        <v>372.48267670361503</v>
      </c>
      <c r="D129" s="214">
        <v>26.0868968175748</v>
      </c>
      <c r="E129" s="197">
        <v>7.0035194786608093E-2</v>
      </c>
      <c r="G129" s="213" t="s">
        <v>29</v>
      </c>
      <c r="H129" s="214">
        <v>8313.4987172649599</v>
      </c>
      <c r="I129" s="214">
        <v>9231.5534716559905</v>
      </c>
      <c r="J129" s="214">
        <v>918.05475439102599</v>
      </c>
      <c r="K129" s="197">
        <v>9.9447482724307104E-2</v>
      </c>
      <c r="L129" s="177"/>
      <c r="M129" s="213" t="s">
        <v>29</v>
      </c>
      <c r="N129" s="214">
        <v>2593811.5997866699</v>
      </c>
      <c r="O129" s="214">
        <v>2726767.22398359</v>
      </c>
      <c r="P129" s="214">
        <v>132955.62419692299</v>
      </c>
      <c r="Q129" s="197">
        <v>4.8759433158612503E-2</v>
      </c>
    </row>
    <row r="130" spans="1:17" hidden="1">
      <c r="A130" s="213" t="s">
        <v>30</v>
      </c>
      <c r="B130" s="214">
        <v>0.743215298323471</v>
      </c>
      <c r="C130" s="214">
        <v>2.3382371794871801</v>
      </c>
      <c r="D130" s="214">
        <v>1.59502188116371</v>
      </c>
      <c r="E130" s="197">
        <v>0.68214717273186398</v>
      </c>
      <c r="G130" s="213" t="s">
        <v>30</v>
      </c>
      <c r="H130" s="214">
        <v>17.8371671597633</v>
      </c>
      <c r="I130" s="214">
        <v>56.117692307692302</v>
      </c>
      <c r="J130" s="214">
        <v>38.280525147928998</v>
      </c>
      <c r="K130" s="197">
        <v>0.68214717273186398</v>
      </c>
      <c r="L130" s="177"/>
      <c r="M130" s="213" t="s">
        <v>30</v>
      </c>
      <c r="N130" s="214">
        <v>5565.1961538461501</v>
      </c>
      <c r="O130" s="214">
        <v>17508.72</v>
      </c>
      <c r="P130" s="214">
        <v>2006.6007692307701</v>
      </c>
      <c r="Q130" s="197">
        <v>0.114605794668643</v>
      </c>
    </row>
    <row r="131" spans="1:17">
      <c r="A131" s="215"/>
      <c r="B131" s="215"/>
      <c r="C131" s="215"/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</row>
    <row r="133" spans="1:17">
      <c r="A133" s="178" t="s">
        <v>41</v>
      </c>
      <c r="B133" s="166" t="s">
        <v>8</v>
      </c>
      <c r="C133" s="166" t="s">
        <v>9</v>
      </c>
      <c r="D133" s="177"/>
      <c r="E133" s="177"/>
      <c r="F133" s="177"/>
      <c r="G133" s="178" t="s">
        <v>41</v>
      </c>
      <c r="H133" s="166" t="s">
        <v>8</v>
      </c>
      <c r="I133" s="166" t="s">
        <v>9</v>
      </c>
      <c r="J133" s="177"/>
      <c r="K133" s="177"/>
      <c r="L133" s="177"/>
      <c r="M133" s="178" t="s">
        <v>41</v>
      </c>
      <c r="N133" s="166" t="s">
        <v>8</v>
      </c>
      <c r="O133" s="166" t="s">
        <v>9</v>
      </c>
      <c r="P133" s="177"/>
    </row>
    <row r="134" spans="1:17">
      <c r="A134" s="200" t="s">
        <v>10</v>
      </c>
      <c r="B134" s="195">
        <v>30</v>
      </c>
      <c r="C134" s="195">
        <v>30</v>
      </c>
      <c r="D134" s="177"/>
      <c r="E134" s="201" t="s">
        <v>34</v>
      </c>
      <c r="F134" s="177"/>
      <c r="G134" s="200" t="s">
        <v>10</v>
      </c>
      <c r="H134" s="195">
        <v>30</v>
      </c>
      <c r="I134" s="195">
        <v>30</v>
      </c>
      <c r="J134" s="177"/>
      <c r="K134" s="201" t="s">
        <v>34</v>
      </c>
      <c r="L134" s="177"/>
      <c r="M134" s="200" t="s">
        <v>10</v>
      </c>
      <c r="N134" s="195">
        <v>30</v>
      </c>
      <c r="O134" s="195">
        <v>30</v>
      </c>
      <c r="P134" s="177"/>
      <c r="Q134" s="201" t="s">
        <v>34</v>
      </c>
    </row>
    <row r="135" spans="1:17">
      <c r="A135" s="165" t="s">
        <v>11</v>
      </c>
      <c r="B135" s="164" t="s">
        <v>12</v>
      </c>
      <c r="C135" s="164" t="s">
        <v>13</v>
      </c>
      <c r="D135" s="164" t="s">
        <v>14</v>
      </c>
      <c r="E135" s="164" t="s">
        <v>15</v>
      </c>
      <c r="G135" s="165" t="s">
        <v>11</v>
      </c>
      <c r="H135" s="164" t="s">
        <v>16</v>
      </c>
      <c r="I135" s="164" t="s">
        <v>17</v>
      </c>
      <c r="J135" s="164" t="s">
        <v>18</v>
      </c>
      <c r="K135" s="164" t="s">
        <v>15</v>
      </c>
      <c r="L135" s="177"/>
      <c r="M135" s="165" t="s">
        <v>11</v>
      </c>
      <c r="N135" s="164" t="s">
        <v>19</v>
      </c>
      <c r="O135" s="164" t="s">
        <v>20</v>
      </c>
      <c r="P135" s="164" t="s">
        <v>21</v>
      </c>
      <c r="Q135" s="164" t="s">
        <v>15</v>
      </c>
    </row>
    <row r="136" spans="1:17">
      <c r="A136" s="168" t="s">
        <v>22</v>
      </c>
      <c r="B136" s="196">
        <v>18.2202635327635</v>
      </c>
      <c r="C136" s="196">
        <v>37.813165364583298</v>
      </c>
      <c r="D136" s="196">
        <v>19.592901831819798</v>
      </c>
      <c r="E136" s="197">
        <v>0.51815026969868405</v>
      </c>
      <c r="G136" s="168" t="s">
        <v>22</v>
      </c>
      <c r="H136" s="196">
        <v>546.607905982906</v>
      </c>
      <c r="I136" s="196">
        <v>1134.3949609374999</v>
      </c>
      <c r="J136" s="196">
        <v>587.78705495459405</v>
      </c>
      <c r="K136" s="197">
        <v>0.51815026969868405</v>
      </c>
      <c r="L136" s="177"/>
      <c r="M136" s="168" t="s">
        <v>22</v>
      </c>
      <c r="N136" s="196">
        <v>170541.66666666701</v>
      </c>
      <c r="O136" s="196">
        <v>353931.22781249997</v>
      </c>
      <c r="P136" s="196">
        <v>183389.56114583299</v>
      </c>
      <c r="Q136" s="197">
        <v>0.51815026969868405</v>
      </c>
    </row>
    <row r="137" spans="1:17">
      <c r="A137" s="168" t="s">
        <v>23</v>
      </c>
      <c r="B137" s="196">
        <v>78.023504273504301</v>
      </c>
      <c r="C137" s="196">
        <v>58.637820512820497</v>
      </c>
      <c r="D137" s="196">
        <v>-19.385683760683801</v>
      </c>
      <c r="E137" s="197">
        <v>-0.33060034617837297</v>
      </c>
      <c r="G137" s="168" t="s">
        <v>23</v>
      </c>
      <c r="H137" s="196">
        <v>2340.7051282051302</v>
      </c>
      <c r="I137" s="196">
        <v>1759.13461538462</v>
      </c>
      <c r="J137" s="196">
        <v>-581.57051282051304</v>
      </c>
      <c r="K137" s="197">
        <v>-0.33060034617837297</v>
      </c>
      <c r="L137" s="177"/>
      <c r="M137" s="168" t="s">
        <v>23</v>
      </c>
      <c r="N137" s="196">
        <v>730300</v>
      </c>
      <c r="O137" s="196">
        <v>548850</v>
      </c>
      <c r="P137" s="196">
        <v>-181450</v>
      </c>
      <c r="Q137" s="197">
        <v>-0.33060034617837297</v>
      </c>
    </row>
    <row r="138" spans="1:17">
      <c r="A138" s="168" t="s">
        <v>24</v>
      </c>
      <c r="B138" s="196">
        <v>240.42018088888901</v>
      </c>
      <c r="C138" s="196">
        <v>296.94835749287802</v>
      </c>
      <c r="D138" s="196">
        <v>56.528176603988598</v>
      </c>
      <c r="E138" s="197">
        <v>0.19036366148394801</v>
      </c>
      <c r="G138" s="168" t="s">
        <v>24</v>
      </c>
      <c r="H138" s="196">
        <v>7212.6054266666697</v>
      </c>
      <c r="I138" s="196">
        <v>8908.4507247863294</v>
      </c>
      <c r="J138" s="196">
        <v>1695.8452981196599</v>
      </c>
      <c r="K138" s="197">
        <v>0.19036366148394801</v>
      </c>
      <c r="L138" s="177"/>
      <c r="M138" s="168" t="s">
        <v>24</v>
      </c>
      <c r="N138" s="196">
        <v>2250332.8931200001</v>
      </c>
      <c r="O138" s="196">
        <v>2779436.6261333302</v>
      </c>
      <c r="P138" s="196">
        <v>529103.73301333399</v>
      </c>
      <c r="Q138" s="197">
        <v>0.19036366148394801</v>
      </c>
    </row>
    <row r="139" spans="1:17">
      <c r="A139" s="171" t="s">
        <v>25</v>
      </c>
      <c r="B139" s="204">
        <v>0.67492603550295904</v>
      </c>
      <c r="C139" s="204">
        <v>2.0019723865877701</v>
      </c>
      <c r="D139" s="204">
        <v>1.3270463510848101</v>
      </c>
      <c r="E139" s="197">
        <v>0.66286945812807896</v>
      </c>
      <c r="G139" s="171" t="s">
        <v>25</v>
      </c>
      <c r="H139" s="196">
        <v>20.247781065088802</v>
      </c>
      <c r="I139" s="196">
        <v>60.059171597633103</v>
      </c>
      <c r="J139" s="196">
        <v>39.811390532544401</v>
      </c>
      <c r="K139" s="197">
        <v>0.66286945812807896</v>
      </c>
      <c r="L139" s="177"/>
      <c r="M139" s="171" t="s">
        <v>25</v>
      </c>
      <c r="N139" s="204">
        <v>6317.3076923076896</v>
      </c>
      <c r="O139" s="204">
        <v>18738.461538461499</v>
      </c>
      <c r="P139" s="204">
        <v>12421.1538461538</v>
      </c>
      <c r="Q139" s="197">
        <v>0.66286945812807896</v>
      </c>
    </row>
    <row r="140" spans="1:17">
      <c r="A140" s="171" t="s">
        <v>26</v>
      </c>
      <c r="B140" s="204">
        <v>5.30849358974359E-3</v>
      </c>
      <c r="C140" s="204">
        <v>2.13609467455621E-2</v>
      </c>
      <c r="D140" s="204">
        <v>1.6052453155818502E-2</v>
      </c>
      <c r="E140" s="197">
        <v>0.751486034164358</v>
      </c>
      <c r="G140" s="171" t="s">
        <v>26</v>
      </c>
      <c r="H140" s="196">
        <v>0.15925480769230799</v>
      </c>
      <c r="I140" s="196">
        <v>0.640828402366864</v>
      </c>
      <c r="J140" s="196">
        <v>0.48157359467455602</v>
      </c>
      <c r="K140" s="197">
        <v>0.751486034164358</v>
      </c>
      <c r="L140" s="177"/>
      <c r="M140" s="171" t="s">
        <v>26</v>
      </c>
      <c r="N140" s="204">
        <v>49.6875</v>
      </c>
      <c r="O140" s="204">
        <v>199.93846153846201</v>
      </c>
      <c r="P140" s="204">
        <v>150.25096153846201</v>
      </c>
      <c r="Q140" s="197">
        <v>0.751486034164358</v>
      </c>
    </row>
    <row r="141" spans="1:17">
      <c r="A141" s="171" t="s">
        <v>27</v>
      </c>
      <c r="B141" s="204">
        <v>5.0384615384615403E-2</v>
      </c>
      <c r="C141" s="204">
        <v>0.25192307692307703</v>
      </c>
      <c r="D141" s="204">
        <v>0.201538461538462</v>
      </c>
      <c r="E141" s="197">
        <v>0.8</v>
      </c>
      <c r="G141" s="171" t="s">
        <v>27</v>
      </c>
      <c r="H141" s="196">
        <v>1.5115384615384599</v>
      </c>
      <c r="I141" s="196">
        <v>7.5576923076923102</v>
      </c>
      <c r="J141" s="196">
        <v>6.0461538461538504</v>
      </c>
      <c r="K141" s="197">
        <v>0.8</v>
      </c>
      <c r="L141" s="177"/>
      <c r="M141" s="171" t="s">
        <v>27</v>
      </c>
      <c r="N141" s="204">
        <v>471.6</v>
      </c>
      <c r="O141" s="204">
        <v>2358</v>
      </c>
      <c r="P141" s="204">
        <v>1886.4</v>
      </c>
      <c r="Q141" s="197">
        <v>0.8</v>
      </c>
    </row>
    <row r="142" spans="1:17" s="172" customFormat="1">
      <c r="A142" s="164" t="s">
        <v>28</v>
      </c>
      <c r="B142" s="205">
        <v>337.39456783963402</v>
      </c>
      <c r="C142" s="205">
        <v>395.67459978053802</v>
      </c>
      <c r="D142" s="205">
        <v>58.280031940903797</v>
      </c>
      <c r="E142" s="211">
        <v>0.147292830960666</v>
      </c>
      <c r="F142" s="163"/>
      <c r="G142" s="164" t="s">
        <v>28</v>
      </c>
      <c r="H142" s="205">
        <v>10121.837035189001</v>
      </c>
      <c r="I142" s="205">
        <v>11870.2379934161</v>
      </c>
      <c r="J142" s="205">
        <v>1748.4009582271101</v>
      </c>
      <c r="K142" s="211">
        <v>0.147292830960666</v>
      </c>
      <c r="L142" s="177"/>
      <c r="M142" s="164" t="s">
        <v>28</v>
      </c>
      <c r="N142" s="205">
        <v>3158013.1549789701</v>
      </c>
      <c r="O142" s="205">
        <v>3703514.2539458298</v>
      </c>
      <c r="P142" s="205">
        <v>545501.09896685905</v>
      </c>
      <c r="Q142" s="211">
        <v>0.147292830960666</v>
      </c>
    </row>
    <row r="143" spans="1:17" hidden="1">
      <c r="A143" s="213" t="s">
        <v>29</v>
      </c>
      <c r="B143" s="214">
        <v>336.79696151566998</v>
      </c>
      <c r="C143" s="214">
        <v>358.33684337028097</v>
      </c>
      <c r="D143" s="214">
        <v>21.539881854611799</v>
      </c>
      <c r="E143" s="197">
        <v>6.0110709387351399E-2</v>
      </c>
      <c r="G143" s="213" t="s">
        <v>29</v>
      </c>
      <c r="H143" s="214">
        <v>10103.9088454701</v>
      </c>
      <c r="I143" s="214">
        <v>11115.06683957</v>
      </c>
      <c r="J143" s="214">
        <v>1011.1579940998899</v>
      </c>
      <c r="K143" s="197">
        <v>9.0971832081129703E-2</v>
      </c>
      <c r="L143" s="177"/>
      <c r="M143" s="213" t="s">
        <v>29</v>
      </c>
      <c r="N143" s="214">
        <v>3152419.5597866699</v>
      </c>
      <c r="O143" s="214">
        <v>3276054.0299794902</v>
      </c>
      <c r="P143" s="214">
        <v>123634.470192821</v>
      </c>
      <c r="Q143" s="197">
        <v>3.7738837351713399E-2</v>
      </c>
    </row>
    <row r="144" spans="1:17" hidden="1">
      <c r="A144" s="213" t="s">
        <v>30</v>
      </c>
      <c r="B144" s="214">
        <v>0.73061914447731802</v>
      </c>
      <c r="C144" s="214">
        <v>2.2752564102564099</v>
      </c>
      <c r="D144" s="214">
        <v>1.5446372657790901</v>
      </c>
      <c r="E144" s="197">
        <v>0.67888491987811606</v>
      </c>
      <c r="G144" s="213" t="s">
        <v>30</v>
      </c>
      <c r="H144" s="214">
        <v>21.918574334319501</v>
      </c>
      <c r="I144" s="214">
        <v>68.257692307692295</v>
      </c>
      <c r="J144" s="214">
        <v>46.339117973372801</v>
      </c>
      <c r="K144" s="197">
        <v>0.67888491987811606</v>
      </c>
      <c r="L144" s="177"/>
      <c r="M144" s="213" t="s">
        <v>30</v>
      </c>
      <c r="N144" s="214">
        <v>6838.59519230769</v>
      </c>
      <c r="O144" s="214">
        <v>21296.400000000001</v>
      </c>
      <c r="P144" s="214">
        <v>2036.65096153846</v>
      </c>
      <c r="Q144" s="197">
        <v>9.5633579456549503E-2</v>
      </c>
    </row>
    <row r="145" spans="1:17">
      <c r="A145" s="215"/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</row>
    <row r="147" spans="1:17">
      <c r="A147" s="178" t="s">
        <v>42</v>
      </c>
      <c r="B147" s="166" t="s">
        <v>8</v>
      </c>
      <c r="C147" s="166" t="s">
        <v>9</v>
      </c>
      <c r="D147" s="177"/>
      <c r="E147" s="177"/>
      <c r="F147" s="177"/>
      <c r="G147" s="178" t="s">
        <v>42</v>
      </c>
      <c r="H147" s="166" t="s">
        <v>8</v>
      </c>
      <c r="I147" s="166" t="s">
        <v>9</v>
      </c>
      <c r="J147" s="177"/>
      <c r="K147" s="177"/>
      <c r="L147" s="177"/>
      <c r="M147" s="178" t="s">
        <v>42</v>
      </c>
      <c r="N147" s="166" t="s">
        <v>8</v>
      </c>
      <c r="O147" s="166" t="s">
        <v>9</v>
      </c>
      <c r="P147" s="177"/>
    </row>
    <row r="148" spans="1:17">
      <c r="A148" s="200" t="s">
        <v>10</v>
      </c>
      <c r="B148" s="195">
        <v>40</v>
      </c>
      <c r="C148" s="195">
        <v>40</v>
      </c>
      <c r="D148" s="177"/>
      <c r="E148" s="201" t="s">
        <v>34</v>
      </c>
      <c r="F148" s="177"/>
      <c r="G148" s="200" t="s">
        <v>10</v>
      </c>
      <c r="H148" s="195">
        <v>40</v>
      </c>
      <c r="I148" s="195">
        <v>40</v>
      </c>
      <c r="J148" s="177"/>
      <c r="K148" s="201" t="s">
        <v>34</v>
      </c>
      <c r="L148" s="177"/>
      <c r="M148" s="200" t="s">
        <v>10</v>
      </c>
      <c r="N148" s="195">
        <v>40</v>
      </c>
      <c r="O148" s="195">
        <v>40</v>
      </c>
      <c r="P148" s="177"/>
      <c r="Q148" s="201" t="s">
        <v>34</v>
      </c>
    </row>
    <row r="149" spans="1:17">
      <c r="A149" s="165" t="s">
        <v>11</v>
      </c>
      <c r="B149" s="164" t="s">
        <v>12</v>
      </c>
      <c r="C149" s="164" t="s">
        <v>13</v>
      </c>
      <c r="D149" s="164" t="s">
        <v>14</v>
      </c>
      <c r="E149" s="164" t="s">
        <v>15</v>
      </c>
      <c r="G149" s="165" t="s">
        <v>11</v>
      </c>
      <c r="H149" s="164" t="s">
        <v>16</v>
      </c>
      <c r="I149" s="164" t="s">
        <v>17</v>
      </c>
      <c r="J149" s="164" t="s">
        <v>18</v>
      </c>
      <c r="K149" s="164" t="s">
        <v>15</v>
      </c>
      <c r="L149" s="177"/>
      <c r="M149" s="165" t="s">
        <v>11</v>
      </c>
      <c r="N149" s="164" t="s">
        <v>19</v>
      </c>
      <c r="O149" s="164" t="s">
        <v>20</v>
      </c>
      <c r="P149" s="164" t="s">
        <v>21</v>
      </c>
      <c r="Q149" s="164" t="s">
        <v>15</v>
      </c>
    </row>
    <row r="150" spans="1:17">
      <c r="A150" s="168" t="s">
        <v>22</v>
      </c>
      <c r="B150" s="196">
        <v>18.1590544871795</v>
      </c>
      <c r="C150" s="196">
        <v>37.813165364583298</v>
      </c>
      <c r="D150" s="196">
        <v>19.654110877403799</v>
      </c>
      <c r="E150" s="197">
        <v>0.51976899283370603</v>
      </c>
      <c r="G150" s="168" t="s">
        <v>22</v>
      </c>
      <c r="H150" s="196">
        <v>726.36217948718001</v>
      </c>
      <c r="I150" s="196">
        <v>1512.52661458333</v>
      </c>
      <c r="J150" s="196">
        <v>786.16443509615397</v>
      </c>
      <c r="K150" s="197">
        <v>0.51976899283370603</v>
      </c>
      <c r="L150" s="177"/>
      <c r="M150" s="168" t="s">
        <v>22</v>
      </c>
      <c r="N150" s="196">
        <v>226625</v>
      </c>
      <c r="O150" s="196">
        <v>471908.30375000002</v>
      </c>
      <c r="P150" s="196">
        <v>245283.30374999999</v>
      </c>
      <c r="Q150" s="197">
        <v>0.51976899283370603</v>
      </c>
    </row>
    <row r="151" spans="1:17">
      <c r="A151" s="168" t="s">
        <v>23</v>
      </c>
      <c r="B151" s="196">
        <v>70.9375</v>
      </c>
      <c r="C151" s="196">
        <v>58.637820512820497</v>
      </c>
      <c r="D151" s="196">
        <v>-12.2996794871795</v>
      </c>
      <c r="E151" s="197">
        <v>-0.20975676414320901</v>
      </c>
      <c r="G151" s="168" t="s">
        <v>23</v>
      </c>
      <c r="H151" s="196">
        <v>2837.5</v>
      </c>
      <c r="I151" s="196">
        <v>2345.5128205128199</v>
      </c>
      <c r="J151" s="196">
        <v>-491.98717948718001</v>
      </c>
      <c r="K151" s="197">
        <v>-0.20975676414320901</v>
      </c>
      <c r="L151" s="177"/>
      <c r="M151" s="168" t="s">
        <v>23</v>
      </c>
      <c r="N151" s="196">
        <v>885300</v>
      </c>
      <c r="O151" s="196">
        <v>731800</v>
      </c>
      <c r="P151" s="196">
        <v>-153500</v>
      </c>
      <c r="Q151" s="197">
        <v>-0.20975676414320901</v>
      </c>
    </row>
    <row r="152" spans="1:17">
      <c r="A152" s="168" t="s">
        <v>24</v>
      </c>
      <c r="B152" s="196">
        <v>239.518255324786</v>
      </c>
      <c r="C152" s="196">
        <v>296.94835749287802</v>
      </c>
      <c r="D152" s="196">
        <v>57.430102168091203</v>
      </c>
      <c r="E152" s="197">
        <v>0.19340097602482501</v>
      </c>
      <c r="G152" s="168" t="s">
        <v>24</v>
      </c>
      <c r="H152" s="196">
        <v>9580.7302129914497</v>
      </c>
      <c r="I152" s="196">
        <v>11877.9342997151</v>
      </c>
      <c r="J152" s="196">
        <v>2297.2040867236401</v>
      </c>
      <c r="K152" s="197">
        <v>0.19340097602482501</v>
      </c>
      <c r="L152" s="177"/>
      <c r="M152" s="168" t="s">
        <v>24</v>
      </c>
      <c r="N152" s="196">
        <v>2989187.82645333</v>
      </c>
      <c r="O152" s="196">
        <v>3705915.50151111</v>
      </c>
      <c r="P152" s="196">
        <v>716727.67505777802</v>
      </c>
      <c r="Q152" s="197">
        <v>0.19340097602482501</v>
      </c>
    </row>
    <row r="153" spans="1:17">
      <c r="A153" s="171" t="s">
        <v>25</v>
      </c>
      <c r="B153" s="204">
        <v>0.67492603550295904</v>
      </c>
      <c r="C153" s="204">
        <v>2.0019723865877701</v>
      </c>
      <c r="D153" s="204">
        <v>1.3270463510848101</v>
      </c>
      <c r="E153" s="197">
        <v>0.66286945812807896</v>
      </c>
      <c r="G153" s="171" t="s">
        <v>25</v>
      </c>
      <c r="H153" s="196">
        <v>26.9970414201183</v>
      </c>
      <c r="I153" s="196">
        <v>80.078895463510804</v>
      </c>
      <c r="J153" s="196">
        <v>53.081854043392497</v>
      </c>
      <c r="K153" s="197">
        <v>0.66286945812807896</v>
      </c>
      <c r="L153" s="177"/>
      <c r="M153" s="171" t="s">
        <v>25</v>
      </c>
      <c r="N153" s="204">
        <v>8423.0769230769201</v>
      </c>
      <c r="O153" s="204">
        <v>24984.615384615401</v>
      </c>
      <c r="P153" s="204">
        <v>16561.538461538501</v>
      </c>
      <c r="Q153" s="197">
        <v>0.66286945812807896</v>
      </c>
    </row>
    <row r="154" spans="1:17">
      <c r="A154" s="171" t="s">
        <v>26</v>
      </c>
      <c r="B154" s="204">
        <v>5.30849358974359E-3</v>
      </c>
      <c r="C154" s="204">
        <v>2.13609467455621E-2</v>
      </c>
      <c r="D154" s="204">
        <v>1.6052453155818502E-2</v>
      </c>
      <c r="E154" s="197">
        <v>0.751486034164358</v>
      </c>
      <c r="G154" s="171" t="s">
        <v>26</v>
      </c>
      <c r="H154" s="196">
        <v>0.212339743589744</v>
      </c>
      <c r="I154" s="196">
        <v>0.85443786982248504</v>
      </c>
      <c r="J154" s="196">
        <v>0.64209812623274098</v>
      </c>
      <c r="K154" s="197">
        <v>0.751486034164358</v>
      </c>
      <c r="L154" s="177"/>
      <c r="M154" s="171" t="s">
        <v>26</v>
      </c>
      <c r="N154" s="204">
        <v>66.25</v>
      </c>
      <c r="O154" s="204">
        <v>266.58461538461501</v>
      </c>
      <c r="P154" s="204">
        <v>200.33461538461501</v>
      </c>
      <c r="Q154" s="197">
        <v>0.751486034164358</v>
      </c>
    </row>
    <row r="155" spans="1:17">
      <c r="A155" s="171" t="s">
        <v>27</v>
      </c>
      <c r="B155" s="204">
        <v>3.77884615384615E-2</v>
      </c>
      <c r="C155" s="204">
        <v>0.18894230769230799</v>
      </c>
      <c r="D155" s="204">
        <v>0.151153846153846</v>
      </c>
      <c r="E155" s="197">
        <v>0.8</v>
      </c>
      <c r="G155" s="171" t="s">
        <v>27</v>
      </c>
      <c r="H155" s="196">
        <v>1.5115384615384599</v>
      </c>
      <c r="I155" s="196">
        <v>7.5576923076923102</v>
      </c>
      <c r="J155" s="196">
        <v>6.0461538461538504</v>
      </c>
      <c r="K155" s="197">
        <v>0.8</v>
      </c>
      <c r="L155" s="177"/>
      <c r="M155" s="171" t="s">
        <v>27</v>
      </c>
      <c r="N155" s="204">
        <v>471.6</v>
      </c>
      <c r="O155" s="204">
        <v>2358</v>
      </c>
      <c r="P155" s="204">
        <v>1886.4</v>
      </c>
      <c r="Q155" s="197">
        <v>0.8</v>
      </c>
    </row>
    <row r="156" spans="1:17" s="172" customFormat="1">
      <c r="A156" s="164" t="s">
        <v>28</v>
      </c>
      <c r="B156" s="205">
        <v>329.33283280259701</v>
      </c>
      <c r="C156" s="205">
        <v>395.61161901130703</v>
      </c>
      <c r="D156" s="205">
        <v>66.278786208710102</v>
      </c>
      <c r="E156" s="211">
        <v>0.167534983867134</v>
      </c>
      <c r="F156" s="163"/>
      <c r="G156" s="164" t="s">
        <v>28</v>
      </c>
      <c r="H156" s="205">
        <v>13173.313312103901</v>
      </c>
      <c r="I156" s="205">
        <v>15824.4647604523</v>
      </c>
      <c r="J156" s="205">
        <v>2651.1514483484002</v>
      </c>
      <c r="K156" s="211">
        <v>0.167534983867134</v>
      </c>
      <c r="L156" s="177"/>
      <c r="M156" s="164" t="s">
        <v>28</v>
      </c>
      <c r="N156" s="205">
        <v>4110073.7533764099</v>
      </c>
      <c r="O156" s="205">
        <v>4937233.0052611101</v>
      </c>
      <c r="P156" s="205">
        <v>827159.25188470096</v>
      </c>
      <c r="Q156" s="211">
        <v>0.167534983867134</v>
      </c>
    </row>
    <row r="157" spans="1:17" hidden="1">
      <c r="A157" s="213" t="s">
        <v>29</v>
      </c>
      <c r="B157" s="214">
        <v>328.74782263247897</v>
      </c>
      <c r="C157" s="214">
        <v>358.33684337028097</v>
      </c>
      <c r="D157" s="214">
        <v>29.589020737802699</v>
      </c>
      <c r="E157" s="197">
        <v>8.2573202519472505E-2</v>
      </c>
      <c r="G157" s="213" t="s">
        <v>29</v>
      </c>
      <c r="H157" s="214">
        <v>13149.912905299099</v>
      </c>
      <c r="I157" s="214">
        <v>14820.089119426601</v>
      </c>
      <c r="J157" s="214">
        <v>1670.1762141274901</v>
      </c>
      <c r="K157" s="197">
        <v>0.112696772648835</v>
      </c>
      <c r="L157" s="177"/>
      <c r="M157" s="213" t="s">
        <v>29</v>
      </c>
      <c r="N157" s="214">
        <v>4102772.82645333</v>
      </c>
      <c r="O157" s="214">
        <v>4368072.0399726499</v>
      </c>
      <c r="P157" s="214">
        <v>265299.21351931698</v>
      </c>
      <c r="Q157" s="197">
        <v>6.0735997733447997E-2</v>
      </c>
    </row>
    <row r="158" spans="1:17" hidden="1">
      <c r="A158" s="213" t="s">
        <v>30</v>
      </c>
      <c r="B158" s="214">
        <v>0.71802299063116404</v>
      </c>
      <c r="C158" s="214">
        <v>2.2122756410256401</v>
      </c>
      <c r="D158" s="214">
        <v>1.49425265039448</v>
      </c>
      <c r="E158" s="197">
        <v>0.67543692236367103</v>
      </c>
      <c r="G158" s="213" t="s">
        <v>30</v>
      </c>
      <c r="H158" s="214">
        <v>28.720919625246601</v>
      </c>
      <c r="I158" s="214">
        <v>88.491025641025601</v>
      </c>
      <c r="J158" s="214">
        <v>59.770106015779099</v>
      </c>
      <c r="K158" s="197">
        <v>0.67543692236367103</v>
      </c>
      <c r="L158" s="177"/>
      <c r="M158" s="213" t="s">
        <v>30</v>
      </c>
      <c r="N158" s="214">
        <v>8960.9269230769205</v>
      </c>
      <c r="O158" s="214">
        <v>27609.200000000001</v>
      </c>
      <c r="P158" s="214">
        <v>2086.7346153846202</v>
      </c>
      <c r="Q158" s="197">
        <v>7.5581132933392303E-2</v>
      </c>
    </row>
    <row r="159" spans="1:17">
      <c r="A159" s="215"/>
      <c r="B159" s="215"/>
      <c r="C159" s="215"/>
      <c r="D159" s="215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</row>
    <row r="161" spans="1:17">
      <c r="A161" s="178" t="s">
        <v>43</v>
      </c>
      <c r="B161" s="166" t="s">
        <v>8</v>
      </c>
      <c r="C161" s="166" t="s">
        <v>9</v>
      </c>
      <c r="D161" s="177"/>
      <c r="E161" s="177"/>
      <c r="F161" s="177"/>
      <c r="G161" s="178" t="s">
        <v>43</v>
      </c>
      <c r="H161" s="166" t="s">
        <v>8</v>
      </c>
      <c r="I161" s="166" t="s">
        <v>9</v>
      </c>
      <c r="J161" s="177"/>
      <c r="K161" s="177"/>
      <c r="L161" s="177"/>
      <c r="M161" s="178" t="s">
        <v>43</v>
      </c>
      <c r="N161" s="166" t="s">
        <v>8</v>
      </c>
      <c r="O161" s="166" t="s">
        <v>9</v>
      </c>
      <c r="P161" s="177"/>
    </row>
    <row r="162" spans="1:17">
      <c r="A162" s="200" t="s">
        <v>10</v>
      </c>
      <c r="B162" s="195">
        <v>50</v>
      </c>
      <c r="C162" s="195">
        <v>50</v>
      </c>
      <c r="D162" s="177"/>
      <c r="E162" s="201" t="s">
        <v>34</v>
      </c>
      <c r="F162" s="177"/>
      <c r="G162" s="200" t="s">
        <v>10</v>
      </c>
      <c r="H162" s="195">
        <v>50</v>
      </c>
      <c r="I162" s="195">
        <v>50</v>
      </c>
      <c r="J162" s="177"/>
      <c r="K162" s="201" t="s">
        <v>34</v>
      </c>
      <c r="L162" s="177"/>
      <c r="M162" s="200" t="s">
        <v>10</v>
      </c>
      <c r="N162" s="195">
        <v>50</v>
      </c>
      <c r="O162" s="195">
        <v>50</v>
      </c>
      <c r="P162" s="177"/>
      <c r="Q162" s="201" t="s">
        <v>34</v>
      </c>
    </row>
    <row r="163" spans="1:17">
      <c r="A163" s="165" t="s">
        <v>11</v>
      </c>
      <c r="B163" s="164" t="s">
        <v>12</v>
      </c>
      <c r="C163" s="164" t="s">
        <v>13</v>
      </c>
      <c r="D163" s="164" t="s">
        <v>14</v>
      </c>
      <c r="E163" s="164" t="s">
        <v>15</v>
      </c>
      <c r="G163" s="165" t="s">
        <v>11</v>
      </c>
      <c r="H163" s="164" t="s">
        <v>16</v>
      </c>
      <c r="I163" s="164" t="s">
        <v>17</v>
      </c>
      <c r="J163" s="164" t="s">
        <v>18</v>
      </c>
      <c r="K163" s="164" t="s">
        <v>15</v>
      </c>
      <c r="L163" s="177"/>
      <c r="M163" s="165" t="s">
        <v>11</v>
      </c>
      <c r="N163" s="164" t="s">
        <v>19</v>
      </c>
      <c r="O163" s="164" t="s">
        <v>20</v>
      </c>
      <c r="P163" s="164" t="s">
        <v>21</v>
      </c>
      <c r="Q163" s="164" t="s">
        <v>15</v>
      </c>
    </row>
    <row r="164" spans="1:17">
      <c r="A164" s="168" t="s">
        <v>22</v>
      </c>
      <c r="B164" s="196">
        <v>18.122329059829099</v>
      </c>
      <c r="C164" s="196">
        <v>37.813165364583298</v>
      </c>
      <c r="D164" s="196">
        <v>19.690836304754299</v>
      </c>
      <c r="E164" s="197">
        <v>0.52074022671471898</v>
      </c>
      <c r="G164" s="168" t="s">
        <v>22</v>
      </c>
      <c r="H164" s="196">
        <v>906.116452991453</v>
      </c>
      <c r="I164" s="196">
        <v>1890.6582682291701</v>
      </c>
      <c r="J164" s="196">
        <v>984.54181523771399</v>
      </c>
      <c r="K164" s="197">
        <v>0.52074022671471898</v>
      </c>
      <c r="L164" s="177"/>
      <c r="M164" s="168" t="s">
        <v>22</v>
      </c>
      <c r="N164" s="196">
        <v>282708.33333333302</v>
      </c>
      <c r="O164" s="196">
        <v>589885.37968749995</v>
      </c>
      <c r="P164" s="196">
        <v>307177.04635416699</v>
      </c>
      <c r="Q164" s="197">
        <v>0.52074022671471898</v>
      </c>
    </row>
    <row r="165" spans="1:17">
      <c r="A165" s="168" t="s">
        <v>23</v>
      </c>
      <c r="B165" s="196">
        <v>66.685897435897402</v>
      </c>
      <c r="C165" s="196">
        <v>58.637820512820497</v>
      </c>
      <c r="D165" s="196">
        <v>-8.0480769230769091</v>
      </c>
      <c r="E165" s="197">
        <v>-0.13725061492210999</v>
      </c>
      <c r="G165" s="168" t="s">
        <v>23</v>
      </c>
      <c r="H165" s="196">
        <v>3334.2948717948698</v>
      </c>
      <c r="I165" s="196">
        <v>2931.89102564103</v>
      </c>
      <c r="J165" s="196">
        <v>-402.40384615384602</v>
      </c>
      <c r="K165" s="197">
        <v>-0.13725061492210999</v>
      </c>
      <c r="L165" s="177"/>
      <c r="M165" s="168" t="s">
        <v>23</v>
      </c>
      <c r="N165" s="196">
        <v>1040300</v>
      </c>
      <c r="O165" s="196">
        <v>914750</v>
      </c>
      <c r="P165" s="196">
        <v>-125550</v>
      </c>
      <c r="Q165" s="197">
        <v>-0.13725061492210999</v>
      </c>
    </row>
    <row r="166" spans="1:17">
      <c r="A166" s="168" t="s">
        <v>24</v>
      </c>
      <c r="B166" s="196">
        <v>237.63094614017101</v>
      </c>
      <c r="C166" s="196">
        <v>296.94835749287802</v>
      </c>
      <c r="D166" s="196">
        <v>59.3174113527066</v>
      </c>
      <c r="E166" s="197">
        <v>0.199756657533051</v>
      </c>
      <c r="G166" s="168" t="s">
        <v>24</v>
      </c>
      <c r="H166" s="196">
        <v>11881.547307008501</v>
      </c>
      <c r="I166" s="196">
        <v>14847.417874643899</v>
      </c>
      <c r="J166" s="196">
        <v>2965.8705676353302</v>
      </c>
      <c r="K166" s="197">
        <v>0.19975665753305</v>
      </c>
      <c r="L166" s="177"/>
      <c r="M166" s="168" t="s">
        <v>24</v>
      </c>
      <c r="N166" s="196">
        <v>3707042.7597866701</v>
      </c>
      <c r="O166" s="196">
        <v>4632394.3768888898</v>
      </c>
      <c r="P166" s="196">
        <v>925351.61710222205</v>
      </c>
      <c r="Q166" s="197">
        <v>0.19975665753305</v>
      </c>
    </row>
    <row r="167" spans="1:17">
      <c r="A167" s="171" t="s">
        <v>25</v>
      </c>
      <c r="B167" s="204">
        <v>0.67492603550295804</v>
      </c>
      <c r="C167" s="204">
        <v>2.0019723865877701</v>
      </c>
      <c r="D167" s="204">
        <v>1.3270463510848101</v>
      </c>
      <c r="E167" s="197">
        <v>0.66286945812807896</v>
      </c>
      <c r="G167" s="171" t="s">
        <v>25</v>
      </c>
      <c r="H167" s="196">
        <v>33.746301775147899</v>
      </c>
      <c r="I167" s="196">
        <v>100.098619329389</v>
      </c>
      <c r="J167" s="196">
        <v>66.352317554240599</v>
      </c>
      <c r="K167" s="197">
        <v>0.66286945812807896</v>
      </c>
      <c r="L167" s="177"/>
      <c r="M167" s="171" t="s">
        <v>25</v>
      </c>
      <c r="N167" s="204">
        <v>10528.8461538462</v>
      </c>
      <c r="O167" s="204">
        <v>31230.769230769201</v>
      </c>
      <c r="P167" s="204">
        <v>20701.9230769231</v>
      </c>
      <c r="Q167" s="197">
        <v>0.66286945812807896</v>
      </c>
    </row>
    <row r="168" spans="1:17">
      <c r="A168" s="171" t="s">
        <v>26</v>
      </c>
      <c r="B168" s="204">
        <v>5.30849358974359E-3</v>
      </c>
      <c r="C168" s="204">
        <v>2.13609467455621E-2</v>
      </c>
      <c r="D168" s="204">
        <v>1.6052453155818502E-2</v>
      </c>
      <c r="E168" s="197">
        <v>0.751486034164358</v>
      </c>
      <c r="G168" s="171" t="s">
        <v>26</v>
      </c>
      <c r="H168" s="196">
        <v>0.26542467948718002</v>
      </c>
      <c r="I168" s="196">
        <v>1.0680473372781101</v>
      </c>
      <c r="J168" s="196">
        <v>0.80262265779092701</v>
      </c>
      <c r="K168" s="197">
        <v>0.751486034164358</v>
      </c>
      <c r="L168" s="177"/>
      <c r="M168" s="171" t="s">
        <v>26</v>
      </c>
      <c r="N168" s="204">
        <v>82.8125</v>
      </c>
      <c r="O168" s="204">
        <v>333.230769230769</v>
      </c>
      <c r="P168" s="204">
        <v>250.418269230769</v>
      </c>
      <c r="Q168" s="197">
        <v>0.751486034164358</v>
      </c>
    </row>
    <row r="169" spans="1:17">
      <c r="A169" s="171" t="s">
        <v>27</v>
      </c>
      <c r="B169" s="204">
        <v>3.02307692307692E-2</v>
      </c>
      <c r="C169" s="204">
        <v>0.151153846153846</v>
      </c>
      <c r="D169" s="204">
        <v>0.12092307692307699</v>
      </c>
      <c r="E169" s="197">
        <v>0.8</v>
      </c>
      <c r="G169" s="171" t="s">
        <v>27</v>
      </c>
      <c r="H169" s="196">
        <v>1.5115384615384599</v>
      </c>
      <c r="I169" s="196">
        <v>7.5576923076923102</v>
      </c>
      <c r="J169" s="196">
        <v>6.0461538461538504</v>
      </c>
      <c r="K169" s="197">
        <v>0.8</v>
      </c>
      <c r="L169" s="177"/>
      <c r="M169" s="171" t="s">
        <v>27</v>
      </c>
      <c r="N169" s="204">
        <v>471.6</v>
      </c>
      <c r="O169" s="204">
        <v>2358</v>
      </c>
      <c r="P169" s="204">
        <v>1886.4</v>
      </c>
      <c r="Q169" s="197">
        <v>0.8</v>
      </c>
    </row>
    <row r="170" spans="1:17" s="172" customFormat="1">
      <c r="A170" s="164" t="s">
        <v>28</v>
      </c>
      <c r="B170" s="205">
        <v>323.149637934221</v>
      </c>
      <c r="C170" s="205">
        <v>395.57383054976901</v>
      </c>
      <c r="D170" s="205">
        <v>72.424192615547696</v>
      </c>
      <c r="E170" s="211">
        <v>0.18308641022812999</v>
      </c>
      <c r="F170" s="163"/>
      <c r="G170" s="164" t="s">
        <v>28</v>
      </c>
      <c r="H170" s="205">
        <v>16157.481896711</v>
      </c>
      <c r="I170" s="205">
        <v>19778.691527488401</v>
      </c>
      <c r="J170" s="205">
        <v>3621.20963077738</v>
      </c>
      <c r="K170" s="211">
        <v>0.18308641022812999</v>
      </c>
      <c r="L170" s="177"/>
      <c r="M170" s="164" t="s">
        <v>28</v>
      </c>
      <c r="N170" s="205">
        <v>5041134.3517738497</v>
      </c>
      <c r="O170" s="205">
        <v>6170951.75657639</v>
      </c>
      <c r="P170" s="205">
        <v>1129817.4048025401</v>
      </c>
      <c r="Q170" s="211">
        <v>0.18308641022812999</v>
      </c>
    </row>
    <row r="171" spans="1:17" hidden="1">
      <c r="A171" s="213" t="s">
        <v>29</v>
      </c>
      <c r="B171" s="214">
        <v>322.57218545641001</v>
      </c>
      <c r="C171" s="214">
        <v>358.33684337028097</v>
      </c>
      <c r="D171" s="214">
        <v>35.764657913871098</v>
      </c>
      <c r="E171" s="197">
        <v>9.9807370008320004E-2</v>
      </c>
      <c r="G171" s="213" t="s">
        <v>29</v>
      </c>
      <c r="H171" s="214">
        <v>16128.6092728205</v>
      </c>
      <c r="I171" s="214">
        <v>18525.111399283302</v>
      </c>
      <c r="J171" s="214">
        <v>2396.5021264627799</v>
      </c>
      <c r="K171" s="197">
        <v>0.12936505885495</v>
      </c>
      <c r="L171" s="177"/>
      <c r="M171" s="213" t="s">
        <v>29</v>
      </c>
      <c r="N171" s="214">
        <v>5032126.0931200003</v>
      </c>
      <c r="O171" s="214">
        <v>5460090.04996581</v>
      </c>
      <c r="P171" s="214">
        <v>427963.95684581198</v>
      </c>
      <c r="Q171" s="197">
        <v>7.8380384376351406E-2</v>
      </c>
    </row>
    <row r="172" spans="1:17" hidden="1">
      <c r="A172" s="213" t="s">
        <v>30</v>
      </c>
      <c r="B172" s="214">
        <v>0.71046529832347105</v>
      </c>
      <c r="C172" s="214">
        <v>2.1744871794871798</v>
      </c>
      <c r="D172" s="214">
        <v>1.46402188116371</v>
      </c>
      <c r="E172" s="197">
        <v>0.67327225240710598</v>
      </c>
      <c r="G172" s="213" t="s">
        <v>30</v>
      </c>
      <c r="H172" s="214">
        <v>35.523264916173602</v>
      </c>
      <c r="I172" s="214">
        <v>108.72435897435901</v>
      </c>
      <c r="J172" s="214">
        <v>73.201094058185404</v>
      </c>
      <c r="K172" s="197">
        <v>0.67327225240710598</v>
      </c>
      <c r="L172" s="177"/>
      <c r="M172" s="213" t="s">
        <v>30</v>
      </c>
      <c r="N172" s="214">
        <v>11083.2586538462</v>
      </c>
      <c r="O172" s="214">
        <v>33922</v>
      </c>
      <c r="P172" s="214">
        <v>2136.8182692307701</v>
      </c>
      <c r="Q172" s="197">
        <v>6.2992107459193702E-2</v>
      </c>
    </row>
    <row r="173" spans="1:17">
      <c r="A173" s="215"/>
      <c r="B173" s="215"/>
      <c r="C173" s="215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</row>
    <row r="175" spans="1:17">
      <c r="A175" s="178" t="s">
        <v>44</v>
      </c>
      <c r="B175" s="166" t="s">
        <v>8</v>
      </c>
      <c r="C175" s="166" t="s">
        <v>9</v>
      </c>
      <c r="D175" s="177"/>
      <c r="E175" s="177"/>
      <c r="F175" s="177"/>
      <c r="G175" s="178" t="s">
        <v>44</v>
      </c>
      <c r="H175" s="166" t="s">
        <v>8</v>
      </c>
      <c r="I175" s="166" t="s">
        <v>9</v>
      </c>
      <c r="J175" s="177"/>
      <c r="K175" s="177"/>
      <c r="L175" s="177"/>
      <c r="M175" s="178" t="s">
        <v>44</v>
      </c>
      <c r="N175" s="166" t="s">
        <v>8</v>
      </c>
      <c r="O175" s="166" t="s">
        <v>9</v>
      </c>
      <c r="P175" s="177"/>
    </row>
    <row r="176" spans="1:17">
      <c r="A176" s="200" t="s">
        <v>10</v>
      </c>
      <c r="B176" s="195">
        <v>60</v>
      </c>
      <c r="C176" s="195">
        <v>60</v>
      </c>
      <c r="D176" s="177"/>
      <c r="E176" s="201" t="s">
        <v>34</v>
      </c>
      <c r="F176" s="177"/>
      <c r="G176" s="200" t="s">
        <v>10</v>
      </c>
      <c r="H176" s="195">
        <v>60</v>
      </c>
      <c r="I176" s="195">
        <v>60</v>
      </c>
      <c r="J176" s="177"/>
      <c r="K176" s="201" t="s">
        <v>34</v>
      </c>
      <c r="L176" s="177"/>
      <c r="M176" s="200" t="s">
        <v>10</v>
      </c>
      <c r="N176" s="195">
        <v>60</v>
      </c>
      <c r="O176" s="195">
        <v>60</v>
      </c>
      <c r="P176" s="177"/>
      <c r="Q176" s="201" t="s">
        <v>34</v>
      </c>
    </row>
    <row r="177" spans="1:17">
      <c r="A177" s="165" t="s">
        <v>11</v>
      </c>
      <c r="B177" s="164" t="s">
        <v>12</v>
      </c>
      <c r="C177" s="164" t="s">
        <v>13</v>
      </c>
      <c r="D177" s="164" t="s">
        <v>14</v>
      </c>
      <c r="E177" s="164" t="s">
        <v>15</v>
      </c>
      <c r="G177" s="165" t="s">
        <v>11</v>
      </c>
      <c r="H177" s="164" t="s">
        <v>16</v>
      </c>
      <c r="I177" s="164" t="s">
        <v>17</v>
      </c>
      <c r="J177" s="164" t="s">
        <v>18</v>
      </c>
      <c r="K177" s="164" t="s">
        <v>15</v>
      </c>
      <c r="L177" s="177"/>
      <c r="M177" s="165" t="s">
        <v>11</v>
      </c>
      <c r="N177" s="164" t="s">
        <v>19</v>
      </c>
      <c r="O177" s="164" t="s">
        <v>20</v>
      </c>
      <c r="P177" s="164" t="s">
        <v>21</v>
      </c>
      <c r="Q177" s="164" t="s">
        <v>15</v>
      </c>
    </row>
    <row r="178" spans="1:17">
      <c r="A178" s="168" t="s">
        <v>22</v>
      </c>
      <c r="B178" s="196">
        <v>18.0978454415954</v>
      </c>
      <c r="C178" s="196">
        <v>37.813165364583298</v>
      </c>
      <c r="D178" s="196">
        <v>19.715319922987899</v>
      </c>
      <c r="E178" s="197">
        <v>0.52138771596872702</v>
      </c>
      <c r="G178" s="168" t="s">
        <v>22</v>
      </c>
      <c r="H178" s="196">
        <v>1085.87072649573</v>
      </c>
      <c r="I178" s="196">
        <v>2268.7899218749999</v>
      </c>
      <c r="J178" s="196">
        <v>1182.9191953792699</v>
      </c>
      <c r="K178" s="197">
        <v>0.52138771596872702</v>
      </c>
      <c r="L178" s="177"/>
      <c r="M178" s="168" t="s">
        <v>22</v>
      </c>
      <c r="N178" s="196">
        <v>338791.66666666698</v>
      </c>
      <c r="O178" s="196">
        <v>707862.45562499994</v>
      </c>
      <c r="P178" s="196">
        <v>369070.78895833303</v>
      </c>
      <c r="Q178" s="197">
        <v>0.52138771596872702</v>
      </c>
    </row>
    <row r="179" spans="1:17">
      <c r="A179" s="168" t="s">
        <v>23</v>
      </c>
      <c r="B179" s="196">
        <v>63.851495726495699</v>
      </c>
      <c r="C179" s="196">
        <v>58.637820512820497</v>
      </c>
      <c r="D179" s="196">
        <v>-5.2136752136752103</v>
      </c>
      <c r="E179" s="197">
        <v>-8.8913182108043998E-2</v>
      </c>
      <c r="G179" s="168" t="s">
        <v>23</v>
      </c>
      <c r="H179" s="196">
        <v>3831.08974358974</v>
      </c>
      <c r="I179" s="196">
        <v>3518.26923076923</v>
      </c>
      <c r="J179" s="196">
        <v>-312.82051282051299</v>
      </c>
      <c r="K179" s="197">
        <v>-8.8913182108044095E-2</v>
      </c>
      <c r="L179" s="177"/>
      <c r="M179" s="168" t="s">
        <v>23</v>
      </c>
      <c r="N179" s="196">
        <v>1195300</v>
      </c>
      <c r="O179" s="196">
        <v>1097700</v>
      </c>
      <c r="P179" s="196">
        <v>-97600</v>
      </c>
      <c r="Q179" s="197">
        <v>-8.8913182108044095E-2</v>
      </c>
    </row>
    <row r="180" spans="1:17">
      <c r="A180" s="168" t="s">
        <v>24</v>
      </c>
      <c r="B180" s="196">
        <v>236.372740017094</v>
      </c>
      <c r="C180" s="196">
        <v>296.94835749287802</v>
      </c>
      <c r="D180" s="196">
        <v>60.575617475783503</v>
      </c>
      <c r="E180" s="197">
        <v>0.20399377853853401</v>
      </c>
      <c r="G180" s="168" t="s">
        <v>24</v>
      </c>
      <c r="H180" s="196">
        <v>14182.364401025599</v>
      </c>
      <c r="I180" s="196">
        <v>17816.901449572699</v>
      </c>
      <c r="J180" s="196">
        <v>3634.5370485470098</v>
      </c>
      <c r="K180" s="197">
        <v>0.20399377853853401</v>
      </c>
      <c r="L180" s="177"/>
      <c r="M180" s="168" t="s">
        <v>24</v>
      </c>
      <c r="N180" s="196">
        <v>4424897.69312</v>
      </c>
      <c r="O180" s="196">
        <v>5558873.2522666696</v>
      </c>
      <c r="P180" s="196">
        <v>1133975.5591466699</v>
      </c>
      <c r="Q180" s="197">
        <v>0.20399377853853401</v>
      </c>
    </row>
    <row r="181" spans="1:17">
      <c r="A181" s="171" t="s">
        <v>25</v>
      </c>
      <c r="B181" s="204">
        <v>0.67492603550295904</v>
      </c>
      <c r="C181" s="204">
        <v>2.0019723865877701</v>
      </c>
      <c r="D181" s="204">
        <v>1.3270463510848101</v>
      </c>
      <c r="E181" s="197">
        <v>0.66286945812807896</v>
      </c>
      <c r="G181" s="171" t="s">
        <v>25</v>
      </c>
      <c r="H181" s="196">
        <v>40.495562130177497</v>
      </c>
      <c r="I181" s="196">
        <v>120.11834319526599</v>
      </c>
      <c r="J181" s="196">
        <v>79.622781065088802</v>
      </c>
      <c r="K181" s="197">
        <v>0.66286945812807896</v>
      </c>
      <c r="L181" s="177"/>
      <c r="M181" s="171" t="s">
        <v>25</v>
      </c>
      <c r="N181" s="204">
        <v>12634.615384615399</v>
      </c>
      <c r="O181" s="204">
        <v>37476.9230769231</v>
      </c>
      <c r="P181" s="204">
        <v>24842.307692307699</v>
      </c>
      <c r="Q181" s="197">
        <v>0.66286945812807896</v>
      </c>
    </row>
    <row r="182" spans="1:17">
      <c r="A182" s="171" t="s">
        <v>26</v>
      </c>
      <c r="B182" s="204">
        <v>5.30849358974359E-3</v>
      </c>
      <c r="C182" s="204">
        <v>2.13609467455621E-2</v>
      </c>
      <c r="D182" s="204">
        <v>1.6052453155818502E-2</v>
      </c>
      <c r="E182" s="197">
        <v>0.751486034164358</v>
      </c>
      <c r="G182" s="171" t="s">
        <v>26</v>
      </c>
      <c r="H182" s="196">
        <v>0.31850961538461497</v>
      </c>
      <c r="I182" s="196">
        <v>1.28165680473373</v>
      </c>
      <c r="J182" s="196">
        <v>0.96314718934911303</v>
      </c>
      <c r="K182" s="197">
        <v>0.751486034164358</v>
      </c>
      <c r="L182" s="177"/>
      <c r="M182" s="171" t="s">
        <v>26</v>
      </c>
      <c r="N182" s="204">
        <v>99.375</v>
      </c>
      <c r="O182" s="204">
        <v>399.87692307692299</v>
      </c>
      <c r="P182" s="204">
        <v>300.50192307692299</v>
      </c>
      <c r="Q182" s="197">
        <v>0.751486034164358</v>
      </c>
    </row>
    <row r="183" spans="1:17">
      <c r="A183" s="171" t="s">
        <v>27</v>
      </c>
      <c r="B183" s="204">
        <v>2.5192307692307701E-2</v>
      </c>
      <c r="C183" s="204">
        <v>0.12596153846153799</v>
      </c>
      <c r="D183" s="204">
        <v>0.100769230769231</v>
      </c>
      <c r="E183" s="197">
        <v>0.8</v>
      </c>
      <c r="G183" s="171" t="s">
        <v>27</v>
      </c>
      <c r="H183" s="196">
        <v>1.5115384615384599</v>
      </c>
      <c r="I183" s="196">
        <v>7.5576923076923102</v>
      </c>
      <c r="J183" s="196">
        <v>6.0461538461538504</v>
      </c>
      <c r="K183" s="197">
        <v>0.8</v>
      </c>
      <c r="L183" s="177"/>
      <c r="M183" s="171" t="s">
        <v>27</v>
      </c>
      <c r="N183" s="204">
        <v>471.6</v>
      </c>
      <c r="O183" s="204">
        <v>2358</v>
      </c>
      <c r="P183" s="204">
        <v>1886.4</v>
      </c>
      <c r="Q183" s="197">
        <v>0.8</v>
      </c>
    </row>
    <row r="184" spans="1:17" s="172" customFormat="1">
      <c r="A184" s="164" t="s">
        <v>28</v>
      </c>
      <c r="B184" s="205">
        <v>319.02750802196999</v>
      </c>
      <c r="C184" s="205">
        <v>395.54863824207598</v>
      </c>
      <c r="D184" s="205">
        <v>76.521130220106102</v>
      </c>
      <c r="E184" s="211">
        <v>0.193455678573908</v>
      </c>
      <c r="F184" s="163"/>
      <c r="G184" s="164" t="s">
        <v>28</v>
      </c>
      <c r="H184" s="205">
        <v>19141.6504813182</v>
      </c>
      <c r="I184" s="205">
        <v>23732.918294524599</v>
      </c>
      <c r="J184" s="205">
        <v>4591.2678132063602</v>
      </c>
      <c r="K184" s="211">
        <v>0.193455678573908</v>
      </c>
      <c r="L184" s="177"/>
      <c r="M184" s="164" t="s">
        <v>28</v>
      </c>
      <c r="N184" s="205">
        <v>5972194.9501712797</v>
      </c>
      <c r="O184" s="205">
        <v>7404670.5078916699</v>
      </c>
      <c r="P184" s="205">
        <v>1432475.5577203899</v>
      </c>
      <c r="Q184" s="211">
        <v>0.193455678573908</v>
      </c>
    </row>
    <row r="185" spans="1:17" hidden="1">
      <c r="A185" s="213" t="s">
        <v>29</v>
      </c>
      <c r="B185" s="214">
        <v>318.45509400569802</v>
      </c>
      <c r="C185" s="214">
        <v>358.33684337028097</v>
      </c>
      <c r="D185" s="214">
        <v>39.8817493645833</v>
      </c>
      <c r="E185" s="197">
        <v>0.11129681500088499</v>
      </c>
      <c r="G185" s="213" t="s">
        <v>29</v>
      </c>
      <c r="H185" s="214">
        <v>19107.3056403419</v>
      </c>
      <c r="I185" s="214">
        <v>22230.133679139999</v>
      </c>
      <c r="J185" s="214">
        <v>3122.8280387980799</v>
      </c>
      <c r="K185" s="197">
        <v>0.140477249659026</v>
      </c>
      <c r="L185" s="177"/>
      <c r="M185" s="213" t="s">
        <v>29</v>
      </c>
      <c r="N185" s="214">
        <v>5961479.3597866697</v>
      </c>
      <c r="O185" s="214">
        <v>6552108.0599589804</v>
      </c>
      <c r="P185" s="214">
        <v>590628.70017230895</v>
      </c>
      <c r="Q185" s="197">
        <v>9.0143308804953803E-2</v>
      </c>
    </row>
    <row r="186" spans="1:17" hidden="1">
      <c r="A186" s="213" t="s">
        <v>30</v>
      </c>
      <c r="B186" s="214">
        <v>0.70542683678500995</v>
      </c>
      <c r="C186" s="214">
        <v>2.1492948717948699</v>
      </c>
      <c r="D186" s="214">
        <v>1.4438680350098601</v>
      </c>
      <c r="E186" s="197">
        <v>0.67178685156592299</v>
      </c>
      <c r="G186" s="213" t="s">
        <v>30</v>
      </c>
      <c r="H186" s="214">
        <v>42.325610207100603</v>
      </c>
      <c r="I186" s="214">
        <v>128.95769230769201</v>
      </c>
      <c r="J186" s="214">
        <v>86.632082100591703</v>
      </c>
      <c r="K186" s="197">
        <v>0.67178685156592299</v>
      </c>
      <c r="L186" s="177"/>
      <c r="M186" s="213" t="s">
        <v>30</v>
      </c>
      <c r="N186" s="214">
        <v>13205.5903846154</v>
      </c>
      <c r="O186" s="214">
        <v>40234.800000000003</v>
      </c>
      <c r="P186" s="214">
        <v>2186.90192307692</v>
      </c>
      <c r="Q186" s="197">
        <v>5.4353493072587002E-2</v>
      </c>
    </row>
    <row r="187" spans="1:17">
      <c r="A187" s="215"/>
      <c r="B187" s="215"/>
      <c r="C187" s="215"/>
      <c r="D187" s="215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</row>
    <row r="189" spans="1:17">
      <c r="A189" s="178" t="s">
        <v>45</v>
      </c>
      <c r="B189" s="166" t="s">
        <v>8</v>
      </c>
      <c r="C189" s="166" t="s">
        <v>9</v>
      </c>
      <c r="D189" s="177"/>
      <c r="E189" s="177"/>
      <c r="F189" s="177"/>
      <c r="G189" s="178" t="s">
        <v>45</v>
      </c>
      <c r="H189" s="166" t="s">
        <v>8</v>
      </c>
      <c r="I189" s="166" t="s">
        <v>9</v>
      </c>
      <c r="J189" s="177"/>
      <c r="K189" s="177"/>
      <c r="L189" s="177"/>
      <c r="M189" s="178" t="s">
        <v>45</v>
      </c>
      <c r="N189" s="166" t="s">
        <v>8</v>
      </c>
      <c r="O189" s="166" t="s">
        <v>9</v>
      </c>
      <c r="P189" s="177"/>
    </row>
    <row r="190" spans="1:17">
      <c r="A190" s="200" t="s">
        <v>10</v>
      </c>
      <c r="B190" s="195">
        <v>70</v>
      </c>
      <c r="C190" s="195">
        <v>70</v>
      </c>
      <c r="D190" s="177"/>
      <c r="E190" s="201" t="s">
        <v>34</v>
      </c>
      <c r="F190" s="177"/>
      <c r="G190" s="200" t="s">
        <v>10</v>
      </c>
      <c r="H190" s="195">
        <v>70</v>
      </c>
      <c r="I190" s="195">
        <v>70</v>
      </c>
      <c r="J190" s="177"/>
      <c r="K190" s="201" t="s">
        <v>34</v>
      </c>
      <c r="L190" s="177"/>
      <c r="M190" s="200" t="s">
        <v>10</v>
      </c>
      <c r="N190" s="195">
        <v>70</v>
      </c>
      <c r="O190" s="195">
        <v>70</v>
      </c>
      <c r="P190" s="177"/>
      <c r="Q190" s="201" t="s">
        <v>34</v>
      </c>
    </row>
    <row r="191" spans="1:17">
      <c r="A191" s="165" t="s">
        <v>11</v>
      </c>
      <c r="B191" s="164" t="s">
        <v>12</v>
      </c>
      <c r="C191" s="164" t="s">
        <v>13</v>
      </c>
      <c r="D191" s="164" t="s">
        <v>14</v>
      </c>
      <c r="E191" s="164" t="s">
        <v>15</v>
      </c>
      <c r="G191" s="165" t="s">
        <v>11</v>
      </c>
      <c r="H191" s="164" t="s">
        <v>16</v>
      </c>
      <c r="I191" s="164" t="s">
        <v>17</v>
      </c>
      <c r="J191" s="164" t="s">
        <v>18</v>
      </c>
      <c r="K191" s="164" t="s">
        <v>15</v>
      </c>
      <c r="L191" s="177"/>
      <c r="M191" s="165" t="s">
        <v>11</v>
      </c>
      <c r="N191" s="164" t="s">
        <v>19</v>
      </c>
      <c r="O191" s="164" t="s">
        <v>20</v>
      </c>
      <c r="P191" s="164" t="s">
        <v>21</v>
      </c>
      <c r="Q191" s="164" t="s">
        <v>15</v>
      </c>
    </row>
    <row r="192" spans="1:17">
      <c r="A192" s="168" t="s">
        <v>22</v>
      </c>
      <c r="B192" s="196">
        <v>18.0803571428571</v>
      </c>
      <c r="C192" s="196">
        <v>37.813165364583298</v>
      </c>
      <c r="D192" s="196">
        <v>19.732808221726199</v>
      </c>
      <c r="E192" s="197">
        <v>0.52185020829301898</v>
      </c>
      <c r="G192" s="168" t="s">
        <v>22</v>
      </c>
      <c r="H192" s="196">
        <v>1265.625</v>
      </c>
      <c r="I192" s="196">
        <v>2646.9215755208302</v>
      </c>
      <c r="J192" s="196">
        <v>1381.2965755208299</v>
      </c>
      <c r="K192" s="197">
        <v>0.52185020829301898</v>
      </c>
      <c r="L192" s="177"/>
      <c r="M192" s="168" t="s">
        <v>22</v>
      </c>
      <c r="N192" s="196">
        <v>394875</v>
      </c>
      <c r="O192" s="196">
        <v>825839.53156250005</v>
      </c>
      <c r="P192" s="196">
        <v>430964.53156249999</v>
      </c>
      <c r="Q192" s="197">
        <v>0.52185020829301898</v>
      </c>
    </row>
    <row r="193" spans="1:17">
      <c r="A193" s="168" t="s">
        <v>23</v>
      </c>
      <c r="B193" s="196">
        <v>61.826923076923102</v>
      </c>
      <c r="C193" s="196">
        <v>58.637820512820497</v>
      </c>
      <c r="D193" s="196">
        <v>-3.1891025641025701</v>
      </c>
      <c r="E193" s="197">
        <v>-5.4386444383711499E-2</v>
      </c>
      <c r="G193" s="168" t="s">
        <v>23</v>
      </c>
      <c r="H193" s="196">
        <v>4327.8846153846198</v>
      </c>
      <c r="I193" s="196">
        <v>4104.6474358974401</v>
      </c>
      <c r="J193" s="196">
        <v>-223.23717948717999</v>
      </c>
      <c r="K193" s="197">
        <v>-5.4386444383711402E-2</v>
      </c>
      <c r="L193" s="177"/>
      <c r="M193" s="168" t="s">
        <v>23</v>
      </c>
      <c r="N193" s="196">
        <v>1350300</v>
      </c>
      <c r="O193" s="196">
        <v>1280650</v>
      </c>
      <c r="P193" s="196">
        <v>-69650</v>
      </c>
      <c r="Q193" s="197">
        <v>-5.4386444383711402E-2</v>
      </c>
    </row>
    <row r="194" spans="1:17">
      <c r="A194" s="168" t="s">
        <v>24</v>
      </c>
      <c r="B194" s="196">
        <v>236.435559819292</v>
      </c>
      <c r="C194" s="196">
        <v>296.94835749287802</v>
      </c>
      <c r="D194" s="196">
        <v>60.512797673585702</v>
      </c>
      <c r="E194" s="197">
        <v>0.20378222726838</v>
      </c>
      <c r="G194" s="168" t="s">
        <v>24</v>
      </c>
      <c r="H194" s="196">
        <v>16550.489187350398</v>
      </c>
      <c r="I194" s="196">
        <v>20786.3850245014</v>
      </c>
      <c r="J194" s="196">
        <v>4235.8958371509998</v>
      </c>
      <c r="K194" s="197">
        <v>0.20378222726838</v>
      </c>
      <c r="L194" s="177"/>
      <c r="M194" s="168" t="s">
        <v>24</v>
      </c>
      <c r="N194" s="196">
        <v>5163752.6264533298</v>
      </c>
      <c r="O194" s="196">
        <v>6485352.1276444402</v>
      </c>
      <c r="P194" s="196">
        <v>1321599.5011911099</v>
      </c>
      <c r="Q194" s="197">
        <v>0.20378222726838</v>
      </c>
    </row>
    <row r="195" spans="1:17">
      <c r="A195" s="171" t="s">
        <v>25</v>
      </c>
      <c r="B195" s="204">
        <v>0.67492603550295904</v>
      </c>
      <c r="C195" s="204">
        <v>2.0019723865877701</v>
      </c>
      <c r="D195" s="204">
        <v>1.3270463510848101</v>
      </c>
      <c r="E195" s="197">
        <v>0.66286945812807896</v>
      </c>
      <c r="G195" s="171" t="s">
        <v>25</v>
      </c>
      <c r="H195" s="196">
        <v>47.244822485207102</v>
      </c>
      <c r="I195" s="196">
        <v>140.138067061144</v>
      </c>
      <c r="J195" s="196">
        <v>92.893244575936905</v>
      </c>
      <c r="K195" s="197">
        <v>0.66286945812807896</v>
      </c>
      <c r="L195" s="177"/>
      <c r="M195" s="171" t="s">
        <v>25</v>
      </c>
      <c r="N195" s="204">
        <v>14740.384615384601</v>
      </c>
      <c r="O195" s="204">
        <v>43723.0769230769</v>
      </c>
      <c r="P195" s="204">
        <v>28982.692307692301</v>
      </c>
      <c r="Q195" s="197">
        <v>0.66286945812807896</v>
      </c>
    </row>
    <row r="196" spans="1:17">
      <c r="A196" s="171" t="s">
        <v>26</v>
      </c>
      <c r="B196" s="204">
        <v>5.30849358974359E-3</v>
      </c>
      <c r="C196" s="204">
        <v>2.13609467455621E-2</v>
      </c>
      <c r="D196" s="204">
        <v>1.6052453155818502E-2</v>
      </c>
      <c r="E196" s="197">
        <v>0.751486034164358</v>
      </c>
      <c r="G196" s="171" t="s">
        <v>26</v>
      </c>
      <c r="H196" s="196">
        <v>0.37159455128205099</v>
      </c>
      <c r="I196" s="196">
        <v>1.4952662721893499</v>
      </c>
      <c r="J196" s="196">
        <v>1.1236717209072999</v>
      </c>
      <c r="K196" s="197">
        <v>0.751486034164358</v>
      </c>
      <c r="L196" s="177"/>
      <c r="M196" s="171" t="s">
        <v>26</v>
      </c>
      <c r="N196" s="204">
        <v>115.9375</v>
      </c>
      <c r="O196" s="204">
        <v>466.52307692307699</v>
      </c>
      <c r="P196" s="204">
        <v>350.58557692307699</v>
      </c>
      <c r="Q196" s="197">
        <v>0.751486034164358</v>
      </c>
    </row>
    <row r="197" spans="1:17">
      <c r="A197" s="171" t="s">
        <v>27</v>
      </c>
      <c r="B197" s="204">
        <v>2.1593406593406601E-2</v>
      </c>
      <c r="C197" s="204">
        <v>0.107967032967033</v>
      </c>
      <c r="D197" s="204">
        <v>8.6373626373626403E-2</v>
      </c>
      <c r="E197" s="197">
        <v>0.8</v>
      </c>
      <c r="G197" s="171" t="s">
        <v>27</v>
      </c>
      <c r="H197" s="196">
        <v>1.5115384615384599</v>
      </c>
      <c r="I197" s="196">
        <v>7.5576923076923102</v>
      </c>
      <c r="J197" s="196">
        <v>6.0461538461538504</v>
      </c>
      <c r="K197" s="197">
        <v>0.8</v>
      </c>
      <c r="L197" s="177"/>
      <c r="M197" s="171" t="s">
        <v>27</v>
      </c>
      <c r="N197" s="204">
        <v>471.6</v>
      </c>
      <c r="O197" s="204">
        <v>2358</v>
      </c>
      <c r="P197" s="204">
        <v>1886.4</v>
      </c>
      <c r="Q197" s="197">
        <v>0.8</v>
      </c>
    </row>
    <row r="198" spans="1:17" s="172" customFormat="1">
      <c r="A198" s="164" t="s">
        <v>28</v>
      </c>
      <c r="B198" s="205">
        <v>317.044667974758</v>
      </c>
      <c r="C198" s="205">
        <v>395.53064373658202</v>
      </c>
      <c r="D198" s="205">
        <v>78.485975761823596</v>
      </c>
      <c r="E198" s="211">
        <v>0.198432098763236</v>
      </c>
      <c r="F198" s="163"/>
      <c r="G198" s="164" t="s">
        <v>28</v>
      </c>
      <c r="H198" s="205">
        <v>22193.126758233098</v>
      </c>
      <c r="I198" s="205">
        <v>27687.145061560699</v>
      </c>
      <c r="J198" s="205">
        <v>5494.0183033276498</v>
      </c>
      <c r="K198" s="211">
        <v>0.198432098763236</v>
      </c>
      <c r="L198" s="177"/>
      <c r="M198" s="164" t="s">
        <v>28</v>
      </c>
      <c r="N198" s="205">
        <v>6924255.54856872</v>
      </c>
      <c r="O198" s="205">
        <v>8638389.2592069395</v>
      </c>
      <c r="P198" s="205">
        <v>1714133.71063823</v>
      </c>
      <c r="Q198" s="211">
        <v>0.198432098763236</v>
      </c>
    </row>
    <row r="199" spans="1:17" hidden="1">
      <c r="A199" s="213" t="s">
        <v>29</v>
      </c>
      <c r="B199" s="214">
        <f>SUM(B192:B194)</f>
        <v>316.34284003907197</v>
      </c>
      <c r="C199" s="214">
        <f>SUM(C192:C194)</f>
        <v>393.39934337028097</v>
      </c>
      <c r="D199" s="214">
        <f>SUM(D192:D194)</f>
        <v>77.056503331209299</v>
      </c>
      <c r="E199" s="197">
        <f>D199/C199</f>
        <v>0.19587349249508301</v>
      </c>
      <c r="G199" s="213" t="s">
        <v>29</v>
      </c>
      <c r="H199" s="214">
        <f>SUM(H192:H194)</f>
        <v>22143.998802735001</v>
      </c>
      <c r="I199" s="214">
        <f>SUM(I192:I194)</f>
        <v>27537.954035919702</v>
      </c>
      <c r="J199" s="214">
        <f>SUM(J192:J194)</f>
        <v>5393.9552331846598</v>
      </c>
      <c r="K199" s="197">
        <f>J199/I199</f>
        <v>0.19587349249508301</v>
      </c>
      <c r="L199" s="177"/>
      <c r="M199" s="213" t="s">
        <v>29</v>
      </c>
      <c r="N199" s="214">
        <f>SUM(N192:N194)</f>
        <v>6908927.6264533298</v>
      </c>
      <c r="O199" s="214">
        <f>SUM(O192:O194)</f>
        <v>8591841.6592069399</v>
      </c>
      <c r="P199" s="214">
        <f>SUM(P192:P194)</f>
        <v>1682914.0327536101</v>
      </c>
      <c r="Q199" s="197">
        <f>P199/O199</f>
        <v>0.19587349249508301</v>
      </c>
    </row>
    <row r="200" spans="1:17" hidden="1">
      <c r="A200" s="213" t="s">
        <v>30</v>
      </c>
      <c r="B200" s="214">
        <f>SUM(B195:B197)</f>
        <v>0.70182793568610902</v>
      </c>
      <c r="C200" s="214">
        <f>SUM(C195:C197)</f>
        <v>2.13130036630037</v>
      </c>
      <c r="D200" s="214">
        <f>SUM(D195:D197)</f>
        <v>1.4294724306142601</v>
      </c>
      <c r="E200" s="197">
        <f>D200/C200</f>
        <v>0.67070435177356902</v>
      </c>
      <c r="G200" s="213" t="s">
        <v>30</v>
      </c>
      <c r="H200" s="214">
        <f>SUM(H195:H197)</f>
        <v>49.127955498027603</v>
      </c>
      <c r="I200" s="214">
        <f>SUM(I195:I197)</f>
        <v>149.19102564102599</v>
      </c>
      <c r="J200" s="214">
        <f>SUM(J195:J197)</f>
        <v>100.063070142998</v>
      </c>
      <c r="K200" s="197">
        <f>J200/I200</f>
        <v>0.67070435177356902</v>
      </c>
      <c r="L200" s="177"/>
      <c r="M200" s="213" t="s">
        <v>30</v>
      </c>
      <c r="N200" s="214">
        <f>SUM(N195:N197)</f>
        <v>15327.922115384599</v>
      </c>
      <c r="O200" s="214">
        <f>SUM(O195:O197)</f>
        <v>46547.6</v>
      </c>
      <c r="P200" s="214">
        <f>SUM(P195:P197)</f>
        <v>31219.677884615401</v>
      </c>
      <c r="Q200" s="197">
        <f>P200/O200</f>
        <v>0.67070435177356902</v>
      </c>
    </row>
    <row r="201" spans="1:17">
      <c r="A201" s="215"/>
      <c r="B201" s="215"/>
      <c r="C201" s="215"/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</row>
    <row r="203" spans="1:17">
      <c r="A203" s="178" t="s">
        <v>46</v>
      </c>
      <c r="B203" s="166" t="s">
        <v>8</v>
      </c>
      <c r="C203" s="166" t="s">
        <v>9</v>
      </c>
      <c r="D203" s="177"/>
      <c r="E203" s="177"/>
      <c r="F203" s="177"/>
      <c r="G203" s="178" t="s">
        <v>46</v>
      </c>
      <c r="H203" s="166" t="s">
        <v>8</v>
      </c>
      <c r="I203" s="166" t="s">
        <v>9</v>
      </c>
      <c r="J203" s="177"/>
      <c r="K203" s="177"/>
      <c r="L203" s="177"/>
      <c r="M203" s="178" t="s">
        <v>46</v>
      </c>
      <c r="N203" s="166" t="s">
        <v>8</v>
      </c>
      <c r="O203" s="166" t="s">
        <v>9</v>
      </c>
      <c r="P203" s="177"/>
    </row>
    <row r="204" spans="1:17">
      <c r="A204" s="200" t="s">
        <v>10</v>
      </c>
      <c r="B204" s="195">
        <v>80</v>
      </c>
      <c r="C204" s="195">
        <v>80</v>
      </c>
      <c r="D204" s="177"/>
      <c r="E204" s="201" t="s">
        <v>34</v>
      </c>
      <c r="F204" s="177"/>
      <c r="G204" s="200" t="s">
        <v>10</v>
      </c>
      <c r="H204" s="195">
        <v>80</v>
      </c>
      <c r="I204" s="195">
        <v>80</v>
      </c>
      <c r="J204" s="177"/>
      <c r="K204" s="201" t="s">
        <v>34</v>
      </c>
      <c r="L204" s="177"/>
      <c r="M204" s="200" t="s">
        <v>10</v>
      </c>
      <c r="N204" s="195">
        <v>80</v>
      </c>
      <c r="O204" s="195">
        <v>80</v>
      </c>
      <c r="P204" s="177"/>
      <c r="Q204" s="201" t="s">
        <v>34</v>
      </c>
    </row>
    <row r="205" spans="1:17">
      <c r="A205" s="165" t="s">
        <v>11</v>
      </c>
      <c r="B205" s="164" t="s">
        <v>12</v>
      </c>
      <c r="C205" s="164" t="s">
        <v>13</v>
      </c>
      <c r="D205" s="164" t="s">
        <v>14</v>
      </c>
      <c r="E205" s="164" t="s">
        <v>15</v>
      </c>
      <c r="G205" s="165" t="s">
        <v>11</v>
      </c>
      <c r="H205" s="164" t="s">
        <v>16</v>
      </c>
      <c r="I205" s="164" t="s">
        <v>17</v>
      </c>
      <c r="J205" s="164" t="s">
        <v>18</v>
      </c>
      <c r="K205" s="164" t="s">
        <v>15</v>
      </c>
      <c r="L205" s="177"/>
      <c r="M205" s="165" t="s">
        <v>11</v>
      </c>
      <c r="N205" s="164" t="s">
        <v>19</v>
      </c>
      <c r="O205" s="164" t="s">
        <v>20</v>
      </c>
      <c r="P205" s="164" t="s">
        <v>21</v>
      </c>
      <c r="Q205" s="164" t="s">
        <v>15</v>
      </c>
    </row>
    <row r="206" spans="1:17">
      <c r="A206" s="168" t="s">
        <v>22</v>
      </c>
      <c r="B206" s="196">
        <v>18.0672409188034</v>
      </c>
      <c r="C206" s="196">
        <v>37.813165364583298</v>
      </c>
      <c r="D206" s="196">
        <v>19.745924445779899</v>
      </c>
      <c r="E206" s="197">
        <v>0.52219707753623801</v>
      </c>
      <c r="G206" s="168" t="s">
        <v>22</v>
      </c>
      <c r="H206" s="196">
        <v>1445.37927350427</v>
      </c>
      <c r="I206" s="196">
        <v>3025.05322916667</v>
      </c>
      <c r="J206" s="196">
        <v>1579.67395566239</v>
      </c>
      <c r="K206" s="197">
        <v>0.52219707753623801</v>
      </c>
      <c r="L206" s="177"/>
      <c r="M206" s="168" t="s">
        <v>22</v>
      </c>
      <c r="N206" s="196">
        <v>450958.33333333302</v>
      </c>
      <c r="O206" s="196">
        <v>943816.60750000004</v>
      </c>
      <c r="P206" s="196">
        <v>492858.27416666702</v>
      </c>
      <c r="Q206" s="197">
        <v>0.52219707753623801</v>
      </c>
    </row>
    <row r="207" spans="1:17">
      <c r="A207" s="168" t="s">
        <v>23</v>
      </c>
      <c r="B207" s="196">
        <v>60.308493589743598</v>
      </c>
      <c r="C207" s="196">
        <v>58.637820512820497</v>
      </c>
      <c r="D207" s="196">
        <v>-1.67067307692307</v>
      </c>
      <c r="E207" s="197">
        <v>-2.8491391090461799E-2</v>
      </c>
      <c r="G207" s="168" t="s">
        <v>23</v>
      </c>
      <c r="H207" s="196">
        <v>4824.67948717949</v>
      </c>
      <c r="I207" s="196">
        <v>4691.0256410256397</v>
      </c>
      <c r="J207" s="196">
        <v>-133.65384615384701</v>
      </c>
      <c r="K207" s="197">
        <v>-2.8491391090462E-2</v>
      </c>
      <c r="L207" s="177"/>
      <c r="M207" s="168" t="s">
        <v>23</v>
      </c>
      <c r="N207" s="196">
        <v>1505300</v>
      </c>
      <c r="O207" s="196">
        <v>1463600</v>
      </c>
      <c r="P207" s="196">
        <v>-41700</v>
      </c>
      <c r="Q207" s="197">
        <v>-2.84913910904619E-2</v>
      </c>
    </row>
    <row r="208" spans="1:17">
      <c r="A208" s="168" t="s">
        <v>24</v>
      </c>
      <c r="B208" s="196">
        <v>235.641328517094</v>
      </c>
      <c r="C208" s="196">
        <v>296.94835749287802</v>
      </c>
      <c r="D208" s="196">
        <v>61.307028975783503</v>
      </c>
      <c r="E208" s="197">
        <v>0.20645687180557601</v>
      </c>
      <c r="G208" s="168" t="s">
        <v>24</v>
      </c>
      <c r="H208" s="196">
        <v>18851.306281367499</v>
      </c>
      <c r="I208" s="196">
        <v>23755.8685994302</v>
      </c>
      <c r="J208" s="196">
        <v>4904.5623180626799</v>
      </c>
      <c r="K208" s="197">
        <v>0.20645687180557601</v>
      </c>
      <c r="L208" s="177"/>
      <c r="M208" s="168" t="s">
        <v>24</v>
      </c>
      <c r="N208" s="196">
        <v>5881607.5597866699</v>
      </c>
      <c r="O208" s="196">
        <v>7411831.00302222</v>
      </c>
      <c r="P208" s="196">
        <v>1530223.4432355601</v>
      </c>
      <c r="Q208" s="197">
        <v>0.20645687180557601</v>
      </c>
    </row>
    <row r="209" spans="1:17">
      <c r="A209" s="171" t="s">
        <v>25</v>
      </c>
      <c r="B209" s="204">
        <v>0.67492603550295904</v>
      </c>
      <c r="C209" s="204">
        <v>2.0019723865877701</v>
      </c>
      <c r="D209" s="204">
        <v>1.3270463510848101</v>
      </c>
      <c r="E209" s="197">
        <v>0.66286945812807896</v>
      </c>
      <c r="G209" s="171" t="s">
        <v>25</v>
      </c>
      <c r="H209" s="196">
        <v>53.9940828402367</v>
      </c>
      <c r="I209" s="196">
        <v>160.15779092702201</v>
      </c>
      <c r="J209" s="196">
        <v>106.16370808678499</v>
      </c>
      <c r="K209" s="197">
        <v>0.66286945812807896</v>
      </c>
      <c r="L209" s="177"/>
      <c r="M209" s="171" t="s">
        <v>25</v>
      </c>
      <c r="N209" s="204">
        <v>16846.1538461538</v>
      </c>
      <c r="O209" s="204">
        <v>49969.230769230802</v>
      </c>
      <c r="P209" s="204">
        <v>33123.0769230769</v>
      </c>
      <c r="Q209" s="197">
        <v>0.66286945812807896</v>
      </c>
    </row>
    <row r="210" spans="1:17">
      <c r="A210" s="171" t="s">
        <v>26</v>
      </c>
      <c r="B210" s="204">
        <v>5.30849358974359E-3</v>
      </c>
      <c r="C210" s="204">
        <v>2.13609467455621E-2</v>
      </c>
      <c r="D210" s="204">
        <v>1.6052453155818502E-2</v>
      </c>
      <c r="E210" s="197">
        <v>0.751486034164358</v>
      </c>
      <c r="G210" s="171" t="s">
        <v>26</v>
      </c>
      <c r="H210" s="196">
        <v>0.424679487179487</v>
      </c>
      <c r="I210" s="196">
        <v>1.7088757396449701</v>
      </c>
      <c r="J210" s="196">
        <v>1.28419625246548</v>
      </c>
      <c r="K210" s="197">
        <v>0.751486034164358</v>
      </c>
      <c r="L210" s="177"/>
      <c r="M210" s="171" t="s">
        <v>26</v>
      </c>
      <c r="N210" s="204">
        <v>132.5</v>
      </c>
      <c r="O210" s="204">
        <v>533.16923076923104</v>
      </c>
      <c r="P210" s="204">
        <v>400.66923076923098</v>
      </c>
      <c r="Q210" s="197">
        <v>0.751486034164358</v>
      </c>
    </row>
    <row r="211" spans="1:17">
      <c r="A211" s="171" t="s">
        <v>27</v>
      </c>
      <c r="B211" s="204">
        <v>1.8894230769230799E-2</v>
      </c>
      <c r="C211" s="204">
        <v>9.4471153846153802E-2</v>
      </c>
      <c r="D211" s="204">
        <v>7.5576923076923097E-2</v>
      </c>
      <c r="E211" s="197">
        <v>0.8</v>
      </c>
      <c r="G211" s="171" t="s">
        <v>27</v>
      </c>
      <c r="H211" s="196">
        <v>1.5115384615384599</v>
      </c>
      <c r="I211" s="196">
        <v>7.5576923076923102</v>
      </c>
      <c r="J211" s="196">
        <v>6.0461538461538504</v>
      </c>
      <c r="K211" s="197">
        <v>0.8</v>
      </c>
      <c r="L211" s="177"/>
      <c r="M211" s="171" t="s">
        <v>27</v>
      </c>
      <c r="N211" s="204">
        <v>471.6</v>
      </c>
      <c r="O211" s="204">
        <v>2358</v>
      </c>
      <c r="P211" s="204">
        <v>1886.4</v>
      </c>
      <c r="Q211" s="197">
        <v>0.8</v>
      </c>
    </row>
    <row r="212" spans="1:17" s="172" customFormat="1">
      <c r="A212" s="164" t="s">
        <v>28</v>
      </c>
      <c r="B212" s="205">
        <v>314.71619178550299</v>
      </c>
      <c r="C212" s="205">
        <v>395.517147857461</v>
      </c>
      <c r="D212" s="205">
        <v>80.800956071957899</v>
      </c>
      <c r="E212" s="211">
        <v>0.20429191631680499</v>
      </c>
      <c r="F212" s="163"/>
      <c r="G212" s="164" t="s">
        <v>28</v>
      </c>
      <c r="H212" s="205">
        <v>25177.2953428402</v>
      </c>
      <c r="I212" s="205">
        <v>31641.371828596901</v>
      </c>
      <c r="J212" s="205">
        <v>6464.0764857566301</v>
      </c>
      <c r="K212" s="211">
        <v>0.20429191631680499</v>
      </c>
      <c r="L212" s="177"/>
      <c r="M212" s="164" t="s">
        <v>28</v>
      </c>
      <c r="N212" s="205">
        <v>7855316.14696615</v>
      </c>
      <c r="O212" s="205">
        <v>9872108.0105222203</v>
      </c>
      <c r="P212" s="205">
        <v>2016791.86355607</v>
      </c>
      <c r="Q212" s="211">
        <v>0.20429191631680499</v>
      </c>
    </row>
    <row r="213" spans="1:17" hidden="1">
      <c r="A213" s="213" t="s">
        <v>29</v>
      </c>
      <c r="B213" s="214">
        <v>314.15007584615398</v>
      </c>
      <c r="C213" s="214">
        <v>358.33684337028097</v>
      </c>
      <c r="D213" s="214">
        <v>44.186767524127497</v>
      </c>
      <c r="E213" s="197">
        <v>0.12331070148560699</v>
      </c>
      <c r="G213" s="213" t="s">
        <v>29</v>
      </c>
      <c r="H213" s="214">
        <v>25132.006067692299</v>
      </c>
      <c r="I213" s="214">
        <v>29640.178238853299</v>
      </c>
      <c r="J213" s="214">
        <v>4508.1721711609698</v>
      </c>
      <c r="K213" s="197">
        <v>0.15209666199819</v>
      </c>
      <c r="L213" s="177"/>
      <c r="M213" s="213" t="s">
        <v>29</v>
      </c>
      <c r="N213" s="214">
        <v>7841185.8931200001</v>
      </c>
      <c r="O213" s="214">
        <v>8736144.0799452998</v>
      </c>
      <c r="P213" s="214">
        <v>894958.18682529905</v>
      </c>
      <c r="Q213" s="197">
        <v>0.102443157832042</v>
      </c>
    </row>
    <row r="214" spans="1:17" hidden="1">
      <c r="A214" s="213" t="s">
        <v>30</v>
      </c>
      <c r="B214" s="214">
        <v>0.69912875986193301</v>
      </c>
      <c r="C214" s="214">
        <v>2.1178044871794901</v>
      </c>
      <c r="D214" s="214">
        <v>1.4186757273175501</v>
      </c>
      <c r="E214" s="197">
        <v>0.66988040487484302</v>
      </c>
      <c r="G214" s="213" t="s">
        <v>30</v>
      </c>
      <c r="H214" s="214">
        <v>55.930300788954597</v>
      </c>
      <c r="I214" s="214">
        <v>169.424358974359</v>
      </c>
      <c r="J214" s="214">
        <v>113.494058185404</v>
      </c>
      <c r="K214" s="197">
        <v>0.66988040487484302</v>
      </c>
      <c r="L214" s="177"/>
      <c r="M214" s="213" t="s">
        <v>30</v>
      </c>
      <c r="N214" s="214">
        <v>17450.253846153799</v>
      </c>
      <c r="O214" s="214">
        <v>52860.4</v>
      </c>
      <c r="P214" s="214">
        <v>2287.0692307692302</v>
      </c>
      <c r="Q214" s="197">
        <v>4.3266211204781503E-2</v>
      </c>
    </row>
    <row r="215" spans="1:17">
      <c r="A215" s="215"/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</row>
    <row r="217" spans="1:17">
      <c r="A217" s="178" t="s">
        <v>47</v>
      </c>
      <c r="B217" s="166" t="s">
        <v>8</v>
      </c>
      <c r="C217" s="166" t="s">
        <v>9</v>
      </c>
      <c r="D217" s="177"/>
      <c r="E217" s="177"/>
      <c r="F217" s="177"/>
      <c r="G217" s="178" t="s">
        <v>47</v>
      </c>
      <c r="H217" s="166" t="s">
        <v>8</v>
      </c>
      <c r="I217" s="166" t="s">
        <v>9</v>
      </c>
      <c r="J217" s="177"/>
      <c r="K217" s="177"/>
      <c r="L217" s="177"/>
      <c r="M217" s="178" t="s">
        <v>47</v>
      </c>
      <c r="N217" s="166" t="s">
        <v>8</v>
      </c>
      <c r="O217" s="166" t="s">
        <v>9</v>
      </c>
      <c r="P217" s="177"/>
    </row>
    <row r="218" spans="1:17">
      <c r="A218" s="200" t="s">
        <v>10</v>
      </c>
      <c r="B218" s="195">
        <v>90</v>
      </c>
      <c r="C218" s="195">
        <v>90</v>
      </c>
      <c r="D218" s="177"/>
      <c r="E218" s="201" t="s">
        <v>34</v>
      </c>
      <c r="F218" s="177"/>
      <c r="G218" s="200" t="s">
        <v>10</v>
      </c>
      <c r="H218" s="195">
        <v>90</v>
      </c>
      <c r="I218" s="195">
        <v>90</v>
      </c>
      <c r="J218" s="177"/>
      <c r="K218" s="201" t="s">
        <v>34</v>
      </c>
      <c r="L218" s="177"/>
      <c r="M218" s="200" t="s">
        <v>10</v>
      </c>
      <c r="N218" s="195">
        <v>90</v>
      </c>
      <c r="O218" s="195">
        <v>90</v>
      </c>
      <c r="P218" s="177"/>
      <c r="Q218" s="201" t="s">
        <v>34</v>
      </c>
    </row>
    <row r="219" spans="1:17">
      <c r="A219" s="165" t="s">
        <v>11</v>
      </c>
      <c r="B219" s="164" t="s">
        <v>12</v>
      </c>
      <c r="C219" s="164" t="s">
        <v>13</v>
      </c>
      <c r="D219" s="164" t="s">
        <v>14</v>
      </c>
      <c r="E219" s="164" t="s">
        <v>15</v>
      </c>
      <c r="G219" s="165" t="s">
        <v>11</v>
      </c>
      <c r="H219" s="164" t="s">
        <v>16</v>
      </c>
      <c r="I219" s="164" t="s">
        <v>17</v>
      </c>
      <c r="J219" s="164" t="s">
        <v>18</v>
      </c>
      <c r="K219" s="164" t="s">
        <v>15</v>
      </c>
      <c r="L219" s="177"/>
      <c r="M219" s="165" t="s">
        <v>11</v>
      </c>
      <c r="N219" s="164" t="s">
        <v>19</v>
      </c>
      <c r="O219" s="164" t="s">
        <v>20</v>
      </c>
      <c r="P219" s="164" t="s">
        <v>21</v>
      </c>
      <c r="Q219" s="164" t="s">
        <v>15</v>
      </c>
    </row>
    <row r="220" spans="1:17">
      <c r="A220" s="168" t="s">
        <v>22</v>
      </c>
      <c r="B220" s="196">
        <v>18.057039411206102</v>
      </c>
      <c r="C220" s="196">
        <v>37.813165364583298</v>
      </c>
      <c r="D220" s="196">
        <v>19.7561259533773</v>
      </c>
      <c r="E220" s="197">
        <v>0.52246686472540804</v>
      </c>
      <c r="G220" s="168" t="s">
        <v>22</v>
      </c>
      <c r="H220" s="196">
        <v>1625.1335470085501</v>
      </c>
      <c r="I220" s="196">
        <v>3403.1848828124998</v>
      </c>
      <c r="J220" s="196">
        <v>1778.05133580395</v>
      </c>
      <c r="K220" s="197">
        <v>0.52246686472540804</v>
      </c>
      <c r="L220" s="177"/>
      <c r="M220" s="168" t="s">
        <v>22</v>
      </c>
      <c r="N220" s="196">
        <v>507041.66666666698</v>
      </c>
      <c r="O220" s="196">
        <v>1061793.6834374999</v>
      </c>
      <c r="P220" s="196">
        <v>554752.01677083306</v>
      </c>
      <c r="Q220" s="197">
        <v>0.52246686472540804</v>
      </c>
    </row>
    <row r="221" spans="1:17">
      <c r="A221" s="168" t="s">
        <v>23</v>
      </c>
      <c r="B221" s="196">
        <v>59.127492877492898</v>
      </c>
      <c r="C221" s="196">
        <v>58.637820512820497</v>
      </c>
      <c r="D221" s="196">
        <v>-0.48967236467236602</v>
      </c>
      <c r="E221" s="197">
        <v>-8.3507940846011507E-3</v>
      </c>
      <c r="G221" s="168" t="s">
        <v>23</v>
      </c>
      <c r="H221" s="196">
        <v>5321.4743589743603</v>
      </c>
      <c r="I221" s="196">
        <v>5277.4038461538503</v>
      </c>
      <c r="J221" s="196">
        <v>-44.070512820513599</v>
      </c>
      <c r="K221" s="197">
        <v>-8.3507940846012894E-3</v>
      </c>
      <c r="L221" s="177"/>
      <c r="M221" s="168" t="s">
        <v>23</v>
      </c>
      <c r="N221" s="196">
        <v>1660300</v>
      </c>
      <c r="O221" s="196">
        <v>1646550</v>
      </c>
      <c r="P221" s="196">
        <v>-13750</v>
      </c>
      <c r="Q221" s="197">
        <v>-8.3507940846011403E-3</v>
      </c>
    </row>
    <row r="222" spans="1:17">
      <c r="A222" s="168" t="s">
        <v>24</v>
      </c>
      <c r="B222" s="196">
        <v>235.02359305982901</v>
      </c>
      <c r="C222" s="196">
        <v>296.94835749287802</v>
      </c>
      <c r="D222" s="196">
        <v>61.924764433048502</v>
      </c>
      <c r="E222" s="197">
        <v>0.208537150890063</v>
      </c>
      <c r="G222" s="168" t="s">
        <v>24</v>
      </c>
      <c r="H222" s="196">
        <v>21152.123375384599</v>
      </c>
      <c r="I222" s="196">
        <v>26725.352174358999</v>
      </c>
      <c r="J222" s="196">
        <v>5573.22879897436</v>
      </c>
      <c r="K222" s="197">
        <v>0.208537150890062</v>
      </c>
      <c r="L222" s="177"/>
      <c r="M222" s="168" t="s">
        <v>24</v>
      </c>
      <c r="N222" s="196">
        <v>6599462.4931199998</v>
      </c>
      <c r="O222" s="196">
        <v>8338309.8783999998</v>
      </c>
      <c r="P222" s="196">
        <v>1738847.38528</v>
      </c>
      <c r="Q222" s="197">
        <v>0.208537150890062</v>
      </c>
    </row>
    <row r="223" spans="1:17">
      <c r="A223" s="171" t="s">
        <v>25</v>
      </c>
      <c r="B223" s="204">
        <v>0.67492603550295904</v>
      </c>
      <c r="C223" s="204">
        <v>2.0019723865877701</v>
      </c>
      <c r="D223" s="204">
        <v>1.3270463510848101</v>
      </c>
      <c r="E223" s="197">
        <v>0.66286945812807896</v>
      </c>
      <c r="G223" s="171" t="s">
        <v>25</v>
      </c>
      <c r="H223" s="196">
        <v>60.743343195266299</v>
      </c>
      <c r="I223" s="196">
        <v>180.17751479289899</v>
      </c>
      <c r="J223" s="196">
        <v>119.434171597633</v>
      </c>
      <c r="K223" s="197">
        <v>0.66286945812807896</v>
      </c>
      <c r="L223" s="177"/>
      <c r="M223" s="171" t="s">
        <v>25</v>
      </c>
      <c r="N223" s="204">
        <v>18951.9230769231</v>
      </c>
      <c r="O223" s="204">
        <v>56215.384615384603</v>
      </c>
      <c r="P223" s="204">
        <v>37263.461538461503</v>
      </c>
      <c r="Q223" s="197">
        <v>0.66286945812807896</v>
      </c>
    </row>
    <row r="224" spans="1:17">
      <c r="A224" s="171" t="s">
        <v>26</v>
      </c>
      <c r="B224" s="204">
        <v>5.30849358974359E-3</v>
      </c>
      <c r="C224" s="204">
        <v>2.13609467455621E-2</v>
      </c>
      <c r="D224" s="204">
        <v>1.6052453155818502E-2</v>
      </c>
      <c r="E224" s="197">
        <v>0.751486034164358</v>
      </c>
      <c r="G224" s="171" t="s">
        <v>26</v>
      </c>
      <c r="H224" s="196">
        <v>0.47776442307692302</v>
      </c>
      <c r="I224" s="196">
        <v>1.92248520710059</v>
      </c>
      <c r="J224" s="196">
        <v>1.44472078402367</v>
      </c>
      <c r="K224" s="197">
        <v>0.751486034164358</v>
      </c>
      <c r="L224" s="177"/>
      <c r="M224" s="171" t="s">
        <v>26</v>
      </c>
      <c r="N224" s="204">
        <v>149.0625</v>
      </c>
      <c r="O224" s="204">
        <v>599.81538461538503</v>
      </c>
      <c r="P224" s="204">
        <v>450.75288461538503</v>
      </c>
      <c r="Q224" s="197">
        <v>0.751486034164358</v>
      </c>
    </row>
    <row r="225" spans="1:17">
      <c r="A225" s="171" t="s">
        <v>27</v>
      </c>
      <c r="B225" s="204">
        <v>1.67948717948718E-2</v>
      </c>
      <c r="C225" s="204">
        <v>8.3974358974358995E-2</v>
      </c>
      <c r="D225" s="204">
        <v>6.7179487179487199E-2</v>
      </c>
      <c r="E225" s="197">
        <v>0.8</v>
      </c>
      <c r="G225" s="171" t="s">
        <v>27</v>
      </c>
      <c r="H225" s="196">
        <v>1.5115384615384599</v>
      </c>
      <c r="I225" s="196">
        <v>7.5576923076923102</v>
      </c>
      <c r="J225" s="196">
        <v>6.0461538461538504</v>
      </c>
      <c r="K225" s="197">
        <v>0.8</v>
      </c>
      <c r="L225" s="177"/>
      <c r="M225" s="171" t="s">
        <v>27</v>
      </c>
      <c r="N225" s="204">
        <v>471.6</v>
      </c>
      <c r="O225" s="204">
        <v>2358</v>
      </c>
      <c r="P225" s="204">
        <v>1886.4</v>
      </c>
      <c r="Q225" s="197">
        <v>0.8</v>
      </c>
    </row>
    <row r="226" spans="1:17" s="172" customFormat="1">
      <c r="A226" s="164" t="s">
        <v>28</v>
      </c>
      <c r="B226" s="205">
        <v>312.905154749416</v>
      </c>
      <c r="C226" s="205">
        <v>395.50665106258901</v>
      </c>
      <c r="D226" s="205">
        <v>82.601496313173499</v>
      </c>
      <c r="E226" s="211">
        <v>0.20884982867229099</v>
      </c>
      <c r="F226" s="163"/>
      <c r="G226" s="164" t="s">
        <v>28</v>
      </c>
      <c r="H226" s="205">
        <v>28161.463927447399</v>
      </c>
      <c r="I226" s="205">
        <v>35595.598595632997</v>
      </c>
      <c r="J226" s="205">
        <v>7434.1346681856103</v>
      </c>
      <c r="K226" s="211">
        <v>0.20884982867229099</v>
      </c>
      <c r="L226" s="177"/>
      <c r="M226" s="164" t="s">
        <v>28</v>
      </c>
      <c r="N226" s="205">
        <v>8786376.7453635894</v>
      </c>
      <c r="O226" s="205">
        <v>11105826.761837499</v>
      </c>
      <c r="P226" s="205">
        <v>2319450.0164739098</v>
      </c>
      <c r="Q226" s="211">
        <v>0.20884982867229099</v>
      </c>
    </row>
    <row r="227" spans="1:17" hidden="1">
      <c r="A227" s="213" t="s">
        <v>29</v>
      </c>
      <c r="B227" s="214">
        <f>SUM(B220:B222)</f>
        <v>312.20812534852797</v>
      </c>
      <c r="C227" s="214">
        <f>SUM(C220:C222)</f>
        <v>393.39934337028097</v>
      </c>
      <c r="D227" s="214">
        <f>SUM(D220:D222)</f>
        <v>81.1912180217534</v>
      </c>
      <c r="E227" s="197">
        <f>D227/C227</f>
        <v>0.20638371514853601</v>
      </c>
      <c r="G227" s="213" t="s">
        <v>29</v>
      </c>
      <c r="H227" s="214">
        <f>SUM(H220:H222)</f>
        <v>28098.731281367502</v>
      </c>
      <c r="I227" s="214">
        <f>SUM(I220:I222)</f>
        <v>35405.940903325303</v>
      </c>
      <c r="J227" s="214">
        <f>SUM(J220:J222)</f>
        <v>7307.2096219577998</v>
      </c>
      <c r="K227" s="197">
        <f>J227/I227</f>
        <v>0.20638371514853601</v>
      </c>
      <c r="L227" s="177"/>
      <c r="M227" s="213" t="s">
        <v>29</v>
      </c>
      <c r="N227" s="214">
        <f>SUM(N220:N222)</f>
        <v>8766804.1597866695</v>
      </c>
      <c r="O227" s="214">
        <f>SUM(O220:O222)</f>
        <v>11046653.5618375</v>
      </c>
      <c r="P227" s="214">
        <f>SUM(P220:P222)</f>
        <v>2279849.40205083</v>
      </c>
      <c r="Q227" s="197">
        <f>P227/O227</f>
        <v>0.20638371514853601</v>
      </c>
    </row>
    <row r="228" spans="1:17" hidden="1">
      <c r="A228" s="213" t="s">
        <v>30</v>
      </c>
      <c r="B228" s="214">
        <f>SUM(B223:B225)</f>
        <v>0.69702940088757404</v>
      </c>
      <c r="C228" s="214">
        <f>SUM(C223:C225)</f>
        <v>2.1073076923076899</v>
      </c>
      <c r="D228" s="214">
        <f>SUM(D223:D225)</f>
        <v>1.41027829142012</v>
      </c>
      <c r="E228" s="197">
        <f>D228/C228</f>
        <v>0.66923226094037402</v>
      </c>
      <c r="G228" s="213" t="s">
        <v>30</v>
      </c>
      <c r="H228" s="214">
        <f>SUM(H223:H225)</f>
        <v>62.732646079881697</v>
      </c>
      <c r="I228" s="214">
        <f>SUM(I223:I225)</f>
        <v>189.657692307692</v>
      </c>
      <c r="J228" s="214">
        <f>SUM(J223:J225)</f>
        <v>126.92504622781099</v>
      </c>
      <c r="K228" s="197">
        <f>J228/I228</f>
        <v>0.66923226094037402</v>
      </c>
      <c r="L228" s="177"/>
      <c r="M228" s="213" t="s">
        <v>30</v>
      </c>
      <c r="N228" s="214">
        <f>SUM(N223:N225)</f>
        <v>19572.585576923098</v>
      </c>
      <c r="O228" s="214">
        <f>SUM(O223:O225)</f>
        <v>59173.2</v>
      </c>
      <c r="P228" s="214">
        <f>SUM(P223:P225)</f>
        <v>39600.614423076899</v>
      </c>
      <c r="Q228" s="197">
        <f>P228/O228</f>
        <v>0.66923226094037402</v>
      </c>
    </row>
    <row r="229" spans="1:17">
      <c r="A229" s="215"/>
      <c r="B229" s="215"/>
      <c r="C229" s="215"/>
      <c r="D229" s="215"/>
      <c r="E229" s="215"/>
      <c r="F229" s="215"/>
      <c r="G229" s="215"/>
      <c r="H229" s="215"/>
      <c r="I229" s="215"/>
      <c r="J229" s="215"/>
      <c r="K229" s="215"/>
      <c r="L229" s="215"/>
      <c r="M229" s="215"/>
      <c r="N229" s="215"/>
      <c r="O229" s="215"/>
      <c r="P229" s="215"/>
      <c r="Q229" s="215"/>
    </row>
    <row r="231" spans="1:17">
      <c r="A231" s="178" t="s">
        <v>48</v>
      </c>
      <c r="B231" s="166" t="s">
        <v>8</v>
      </c>
      <c r="C231" s="166" t="s">
        <v>9</v>
      </c>
      <c r="D231" s="177"/>
      <c r="E231" s="177"/>
      <c r="F231" s="177"/>
      <c r="G231" s="178" t="s">
        <v>48</v>
      </c>
      <c r="H231" s="166" t="s">
        <v>8</v>
      </c>
      <c r="I231" s="166" t="s">
        <v>9</v>
      </c>
      <c r="J231" s="177"/>
      <c r="K231" s="177"/>
      <c r="L231" s="177"/>
      <c r="M231" s="178" t="s">
        <v>48</v>
      </c>
      <c r="N231" s="166" t="s">
        <v>8</v>
      </c>
      <c r="O231" s="166" t="s">
        <v>9</v>
      </c>
      <c r="P231" s="177"/>
    </row>
    <row r="232" spans="1:17">
      <c r="A232" s="200" t="s">
        <v>10</v>
      </c>
      <c r="B232" s="195">
        <v>100</v>
      </c>
      <c r="C232" s="195">
        <v>100</v>
      </c>
      <c r="D232" s="177"/>
      <c r="E232" s="201" t="s">
        <v>34</v>
      </c>
      <c r="F232" s="177"/>
      <c r="G232" s="200" t="s">
        <v>10</v>
      </c>
      <c r="H232" s="195">
        <v>100</v>
      </c>
      <c r="I232" s="195">
        <v>100</v>
      </c>
      <c r="J232" s="177"/>
      <c r="K232" s="201" t="s">
        <v>34</v>
      </c>
      <c r="L232" s="177"/>
      <c r="M232" s="200" t="s">
        <v>10</v>
      </c>
      <c r="N232" s="195">
        <v>100</v>
      </c>
      <c r="O232" s="195">
        <v>100</v>
      </c>
      <c r="P232" s="177"/>
      <c r="Q232" s="201" t="s">
        <v>34</v>
      </c>
    </row>
    <row r="233" spans="1:17">
      <c r="A233" s="165" t="s">
        <v>11</v>
      </c>
      <c r="B233" s="164" t="s">
        <v>12</v>
      </c>
      <c r="C233" s="164" t="s">
        <v>13</v>
      </c>
      <c r="D233" s="164" t="s">
        <v>14</v>
      </c>
      <c r="E233" s="164" t="s">
        <v>15</v>
      </c>
      <c r="G233" s="165" t="s">
        <v>11</v>
      </c>
      <c r="H233" s="164" t="s">
        <v>16</v>
      </c>
      <c r="I233" s="164" t="s">
        <v>17</v>
      </c>
      <c r="J233" s="164" t="s">
        <v>18</v>
      </c>
      <c r="K233" s="164" t="s">
        <v>15</v>
      </c>
      <c r="L233" s="177"/>
      <c r="M233" s="165" t="s">
        <v>11</v>
      </c>
      <c r="N233" s="164" t="s">
        <v>19</v>
      </c>
      <c r="O233" s="164" t="s">
        <v>20</v>
      </c>
      <c r="P233" s="164" t="s">
        <v>21</v>
      </c>
      <c r="Q233" s="164" t="s">
        <v>15</v>
      </c>
    </row>
    <row r="234" spans="1:17">
      <c r="A234" s="168" t="s">
        <v>22</v>
      </c>
      <c r="B234" s="196">
        <v>18.048878205128201</v>
      </c>
      <c r="C234" s="196">
        <v>37.813165364583298</v>
      </c>
      <c r="D234" s="196">
        <v>19.764287159455101</v>
      </c>
      <c r="E234" s="197">
        <v>0.52268269447674498</v>
      </c>
      <c r="G234" s="168" t="s">
        <v>22</v>
      </c>
      <c r="H234" s="196">
        <v>1804.8878205128201</v>
      </c>
      <c r="I234" s="196">
        <v>3781.3165364583301</v>
      </c>
      <c r="J234" s="196">
        <v>1976.42871594551</v>
      </c>
      <c r="K234" s="197">
        <v>0.52268269447674498</v>
      </c>
      <c r="L234" s="177"/>
      <c r="M234" s="168" t="s">
        <v>22</v>
      </c>
      <c r="N234" s="196">
        <v>563125</v>
      </c>
      <c r="O234" s="196">
        <v>1179770.7593749999</v>
      </c>
      <c r="P234" s="196">
        <v>616645.75937500002</v>
      </c>
      <c r="Q234" s="197">
        <v>0.52268269447674498</v>
      </c>
    </row>
    <row r="235" spans="1:17">
      <c r="A235" s="168" t="s">
        <v>23</v>
      </c>
      <c r="B235" s="196">
        <v>58.182692307692299</v>
      </c>
      <c r="C235" s="196">
        <v>58.637820512820497</v>
      </c>
      <c r="D235" s="196">
        <v>0.455128205128212</v>
      </c>
      <c r="E235" s="197">
        <v>7.7616835200875599E-3</v>
      </c>
      <c r="G235" s="168" t="s">
        <v>23</v>
      </c>
      <c r="H235" s="196">
        <v>5818.2692307692296</v>
      </c>
      <c r="I235" s="196">
        <v>5863.7820512820499</v>
      </c>
      <c r="J235" s="196">
        <v>45.5128205128212</v>
      </c>
      <c r="K235" s="197">
        <v>7.7616835200875799E-3</v>
      </c>
      <c r="L235" s="177"/>
      <c r="M235" s="168" t="s">
        <v>23</v>
      </c>
      <c r="N235" s="196">
        <v>1815300</v>
      </c>
      <c r="O235" s="196">
        <v>1829500</v>
      </c>
      <c r="P235" s="196">
        <v>14200</v>
      </c>
      <c r="Q235" s="197">
        <v>7.7616835200874602E-3</v>
      </c>
    </row>
    <row r="236" spans="1:17">
      <c r="A236" s="168" t="s">
        <v>24</v>
      </c>
      <c r="B236" s="196">
        <v>235.20248161709401</v>
      </c>
      <c r="C236" s="196">
        <v>296.94835749287802</v>
      </c>
      <c r="D236" s="196">
        <v>61.745875875783497</v>
      </c>
      <c r="E236" s="197">
        <v>0.20793472776580199</v>
      </c>
      <c r="G236" s="168" t="s">
        <v>24</v>
      </c>
      <c r="H236" s="196">
        <v>23520.248161709402</v>
      </c>
      <c r="I236" s="196">
        <v>29694.835749287799</v>
      </c>
      <c r="J236" s="196">
        <v>6174.5875875783504</v>
      </c>
      <c r="K236" s="197">
        <v>0.20793472776580199</v>
      </c>
      <c r="L236" s="177"/>
      <c r="M236" s="168" t="s">
        <v>24</v>
      </c>
      <c r="N236" s="196">
        <v>7338317.4264533296</v>
      </c>
      <c r="O236" s="196">
        <v>9264788.7537777796</v>
      </c>
      <c r="P236" s="196">
        <v>1926471.32732444</v>
      </c>
      <c r="Q236" s="197">
        <v>0.20793472776580199</v>
      </c>
    </row>
    <row r="237" spans="1:17">
      <c r="A237" s="171" t="s">
        <v>25</v>
      </c>
      <c r="B237" s="204">
        <v>0.67492603550295804</v>
      </c>
      <c r="C237" s="204">
        <v>2.0019723865877701</v>
      </c>
      <c r="D237" s="204">
        <v>1.3270463510848101</v>
      </c>
      <c r="E237" s="197">
        <v>0.66286945812807896</v>
      </c>
      <c r="G237" s="171" t="s">
        <v>25</v>
      </c>
      <c r="H237" s="196">
        <v>67.492603550295897</v>
      </c>
      <c r="I237" s="196">
        <v>200.197238658777</v>
      </c>
      <c r="J237" s="196">
        <v>132.704635108481</v>
      </c>
      <c r="K237" s="197">
        <v>0.66286945812807896</v>
      </c>
      <c r="L237" s="177"/>
      <c r="M237" s="171" t="s">
        <v>25</v>
      </c>
      <c r="N237" s="204">
        <v>21057.692307692301</v>
      </c>
      <c r="O237" s="204">
        <v>62461.538461538497</v>
      </c>
      <c r="P237" s="204">
        <v>41403.8461538462</v>
      </c>
      <c r="Q237" s="197">
        <v>0.66286945812807896</v>
      </c>
    </row>
    <row r="238" spans="1:17">
      <c r="A238" s="171" t="s">
        <v>26</v>
      </c>
      <c r="B238" s="204">
        <v>5.30849358974359E-3</v>
      </c>
      <c r="C238" s="204">
        <v>2.13609467455621E-2</v>
      </c>
      <c r="D238" s="204">
        <v>1.6052453155818502E-2</v>
      </c>
      <c r="E238" s="197">
        <v>0.751486034164358</v>
      </c>
      <c r="G238" s="171" t="s">
        <v>26</v>
      </c>
      <c r="H238" s="196">
        <v>0.53084935897435903</v>
      </c>
      <c r="I238" s="196">
        <v>2.1360946745562099</v>
      </c>
      <c r="J238" s="196">
        <v>1.60524531558185</v>
      </c>
      <c r="K238" s="197">
        <v>0.751486034164358</v>
      </c>
      <c r="L238" s="177"/>
      <c r="M238" s="171" t="s">
        <v>26</v>
      </c>
      <c r="N238" s="204">
        <v>165.625</v>
      </c>
      <c r="O238" s="204">
        <v>666.461538461538</v>
      </c>
      <c r="P238" s="204">
        <v>500.836538461538</v>
      </c>
      <c r="Q238" s="197">
        <v>0.751486034164358</v>
      </c>
    </row>
    <row r="239" spans="1:17">
      <c r="A239" s="171" t="s">
        <v>27</v>
      </c>
      <c r="B239" s="204">
        <v>1.51153846153846E-2</v>
      </c>
      <c r="C239" s="204">
        <v>7.5576923076923097E-2</v>
      </c>
      <c r="D239" s="204">
        <v>6.0461538461538497E-2</v>
      </c>
      <c r="E239" s="197">
        <v>0.8</v>
      </c>
      <c r="G239" s="171" t="s">
        <v>27</v>
      </c>
      <c r="H239" s="196">
        <v>1.5115384615384599</v>
      </c>
      <c r="I239" s="196">
        <v>7.5576923076923102</v>
      </c>
      <c r="J239" s="196">
        <v>6.0461538461538504</v>
      </c>
      <c r="K239" s="197">
        <v>0.8</v>
      </c>
      <c r="L239" s="177"/>
      <c r="M239" s="171" t="s">
        <v>27</v>
      </c>
      <c r="N239" s="204">
        <v>471.6</v>
      </c>
      <c r="O239" s="204">
        <v>2358</v>
      </c>
      <c r="P239" s="204">
        <v>1886.4</v>
      </c>
      <c r="Q239" s="197">
        <v>0.8</v>
      </c>
    </row>
    <row r="240" spans="1:17" s="172" customFormat="1">
      <c r="A240" s="164" t="s">
        <v>28</v>
      </c>
      <c r="B240" s="205">
        <v>312.12940204362297</v>
      </c>
      <c r="C240" s="205">
        <v>395.49825362669202</v>
      </c>
      <c r="D240" s="205">
        <v>83.368851583069002</v>
      </c>
      <c r="E240" s="211">
        <v>0.21079448725394501</v>
      </c>
      <c r="F240" s="163"/>
      <c r="G240" s="164" t="s">
        <v>28</v>
      </c>
      <c r="H240" s="205">
        <v>31212.940204362301</v>
      </c>
      <c r="I240" s="205">
        <v>39549.825362669202</v>
      </c>
      <c r="J240" s="205">
        <v>8336.8851583069008</v>
      </c>
      <c r="K240" s="211">
        <v>0.21079448725394501</v>
      </c>
      <c r="L240" s="177"/>
      <c r="M240" s="164" t="s">
        <v>28</v>
      </c>
      <c r="N240" s="205">
        <v>9738437.3437610194</v>
      </c>
      <c r="O240" s="205">
        <v>12339545.513152801</v>
      </c>
      <c r="P240" s="205">
        <v>2601108.1693917499</v>
      </c>
      <c r="Q240" s="211">
        <v>0.21079448725394401</v>
      </c>
    </row>
    <row r="241" spans="1:17" hidden="1">
      <c r="A241" s="213" t="s">
        <v>29</v>
      </c>
      <c r="B241" s="214">
        <v>311.56706495042698</v>
      </c>
      <c r="C241" s="214">
        <v>358.33684337028097</v>
      </c>
      <c r="D241" s="214">
        <v>46.769778419853999</v>
      </c>
      <c r="E241" s="197">
        <v>0.13051903337644</v>
      </c>
      <c r="G241" s="213" t="s">
        <v>29</v>
      </c>
      <c r="H241" s="214">
        <v>31156.706495042701</v>
      </c>
      <c r="I241" s="214">
        <v>37050.222798566603</v>
      </c>
      <c r="J241" s="214">
        <v>5893.5163035238602</v>
      </c>
      <c r="K241" s="197">
        <v>0.15906830940168801</v>
      </c>
      <c r="L241" s="177"/>
      <c r="M241" s="213" t="s">
        <v>29</v>
      </c>
      <c r="N241" s="214">
        <v>9720892.4264533296</v>
      </c>
      <c r="O241" s="214">
        <v>10920180.0999316</v>
      </c>
      <c r="P241" s="214">
        <v>1199287.67347829</v>
      </c>
      <c r="Q241" s="197">
        <v>0.10982306724829601</v>
      </c>
    </row>
    <row r="242" spans="1:17" hidden="1">
      <c r="A242" s="213" t="s">
        <v>30</v>
      </c>
      <c r="B242" s="214">
        <v>0.69534991370808696</v>
      </c>
      <c r="C242" s="214">
        <v>2.0989102564102602</v>
      </c>
      <c r="D242" s="214">
        <v>1.4035603427021699</v>
      </c>
      <c r="E242" s="197">
        <v>0.66870907815880798</v>
      </c>
      <c r="G242" s="213" t="s">
        <v>30</v>
      </c>
      <c r="H242" s="214">
        <v>69.534991370808697</v>
      </c>
      <c r="I242" s="214">
        <v>209.891025641026</v>
      </c>
      <c r="J242" s="214">
        <v>140.35603427021701</v>
      </c>
      <c r="K242" s="197">
        <v>0.66870907815880798</v>
      </c>
      <c r="L242" s="177"/>
      <c r="M242" s="213" t="s">
        <v>30</v>
      </c>
      <c r="N242" s="214">
        <v>21694.9173076923</v>
      </c>
      <c r="O242" s="214">
        <v>65486</v>
      </c>
      <c r="P242" s="214">
        <v>2387.23653846154</v>
      </c>
      <c r="Q242" s="197">
        <v>3.6454151092776103E-2</v>
      </c>
    </row>
    <row r="243" spans="1:17">
      <c r="A243" s="215"/>
      <c r="B243" s="215"/>
      <c r="C243" s="215"/>
      <c r="D243" s="215"/>
      <c r="E243" s="215"/>
      <c r="F243" s="215"/>
      <c r="G243" s="215"/>
      <c r="H243" s="215"/>
      <c r="I243" s="215"/>
      <c r="J243" s="215"/>
      <c r="K243" s="215"/>
      <c r="L243" s="215"/>
      <c r="M243" s="215"/>
      <c r="N243" s="215"/>
      <c r="O243" s="215"/>
      <c r="P243" s="215"/>
      <c r="Q243" s="215"/>
    </row>
  </sheetData>
  <phoneticPr fontId="50" type="noConversion"/>
  <dataValidations count="2">
    <dataValidation type="list" allowBlank="1" showInputMessage="1" showErrorMessage="1" sqref="B3" xr:uid="{00000000-0002-0000-0000-000000000000}">
      <formula1>$D$3:$F$3</formula1>
    </dataValidation>
    <dataValidation type="list" allowBlank="1" showInputMessage="1" showErrorMessage="1" sqref="B4" xr:uid="{00000000-0002-0000-0000-000001000000}">
      <formula1>$D$4:$W$4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P25"/>
  <sheetViews>
    <sheetView workbookViewId="0">
      <selection activeCell="C21" sqref="C21"/>
    </sheetView>
  </sheetViews>
  <sheetFormatPr baseColWidth="10" defaultColWidth="11" defaultRowHeight="16"/>
  <cols>
    <col min="1" max="1" width="50.6640625" style="1" customWidth="1"/>
    <col min="2" max="2" width="15.6640625" style="1" customWidth="1"/>
    <col min="3" max="3" width="10.1640625" style="1" customWidth="1"/>
    <col min="4" max="5" width="11" style="1"/>
    <col min="6" max="6" width="26.33203125" style="1" customWidth="1"/>
    <col min="7" max="10" width="11" style="1"/>
    <col min="11" max="11" width="26.5" style="1" customWidth="1"/>
    <col min="12" max="12" width="11" style="1"/>
    <col min="13" max="13" width="16.83203125" style="1" customWidth="1"/>
    <col min="14" max="16384" width="11" style="1"/>
  </cols>
  <sheetData>
    <row r="1" spans="1:16" ht="20">
      <c r="A1" s="241" t="s">
        <v>417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3"/>
    </row>
    <row r="2" spans="1:16" ht="18">
      <c r="A2" s="2" t="s">
        <v>418</v>
      </c>
      <c r="B2" s="244"/>
      <c r="C2" s="245"/>
      <c r="F2" s="2" t="s">
        <v>419</v>
      </c>
      <c r="G2" s="244"/>
      <c r="H2" s="245"/>
      <c r="K2" s="11" t="s">
        <v>420</v>
      </c>
      <c r="L2" s="244"/>
      <c r="M2" s="245"/>
    </row>
    <row r="3" spans="1:16">
      <c r="A3" s="3" t="s">
        <v>421</v>
      </c>
      <c r="B3" s="4"/>
      <c r="C3" s="4"/>
      <c r="F3" s="3" t="s">
        <v>421</v>
      </c>
      <c r="G3" s="4"/>
      <c r="H3" s="4"/>
      <c r="K3" s="3" t="s">
        <v>421</v>
      </c>
      <c r="L3" s="4"/>
      <c r="M3" s="4"/>
    </row>
    <row r="4" spans="1:16">
      <c r="A4" s="5" t="s">
        <v>422</v>
      </c>
      <c r="B4" s="6">
        <v>4</v>
      </c>
      <c r="C4" s="6" t="s">
        <v>423</v>
      </c>
      <c r="F4" s="5" t="s">
        <v>422</v>
      </c>
      <c r="G4" s="6">
        <v>1</v>
      </c>
      <c r="H4" s="6" t="s">
        <v>423</v>
      </c>
      <c r="K4" s="5" t="s">
        <v>422</v>
      </c>
      <c r="L4" s="6">
        <v>3</v>
      </c>
      <c r="M4" s="6" t="s">
        <v>423</v>
      </c>
    </row>
    <row r="5" spans="1:16">
      <c r="A5" s="5" t="s">
        <v>424</v>
      </c>
      <c r="B5" s="6">
        <v>23</v>
      </c>
      <c r="C5" s="6" t="s">
        <v>423</v>
      </c>
      <c r="F5" s="5" t="s">
        <v>424</v>
      </c>
      <c r="G5" s="6">
        <v>14</v>
      </c>
      <c r="H5" s="6" t="s">
        <v>423</v>
      </c>
      <c r="K5" s="5" t="s">
        <v>424</v>
      </c>
      <c r="L5" s="6">
        <v>16</v>
      </c>
      <c r="M5" s="6" t="s">
        <v>423</v>
      </c>
    </row>
    <row r="6" spans="1:16">
      <c r="A6" s="5" t="s">
        <v>425</v>
      </c>
      <c r="B6" s="6">
        <v>1</v>
      </c>
      <c r="C6" s="6" t="s">
        <v>423</v>
      </c>
      <c r="F6" s="5" t="s">
        <v>425</v>
      </c>
      <c r="G6" s="6">
        <v>1</v>
      </c>
      <c r="H6" s="6" t="s">
        <v>423</v>
      </c>
      <c r="K6" s="5" t="s">
        <v>425</v>
      </c>
      <c r="L6" s="6">
        <v>1</v>
      </c>
      <c r="M6" s="6" t="s">
        <v>423</v>
      </c>
    </row>
    <row r="7" spans="1:16">
      <c r="A7" s="5" t="s">
        <v>426</v>
      </c>
      <c r="B7" s="6">
        <v>11</v>
      </c>
      <c r="C7" s="6" t="s">
        <v>423</v>
      </c>
      <c r="F7" s="5" t="s">
        <v>426</v>
      </c>
      <c r="G7" s="6">
        <v>1</v>
      </c>
      <c r="H7" s="6" t="s">
        <v>423</v>
      </c>
      <c r="K7" s="5" t="s">
        <v>426</v>
      </c>
      <c r="L7" s="6">
        <v>3</v>
      </c>
      <c r="M7" s="6" t="s">
        <v>423</v>
      </c>
    </row>
    <row r="8" spans="1:16">
      <c r="A8" s="3" t="s">
        <v>427</v>
      </c>
      <c r="B8" s="4"/>
      <c r="C8" s="4"/>
      <c r="F8" s="3" t="s">
        <v>427</v>
      </c>
      <c r="G8" s="4"/>
      <c r="H8" s="4"/>
      <c r="K8" s="3" t="s">
        <v>427</v>
      </c>
      <c r="L8" s="4"/>
      <c r="M8" s="4"/>
    </row>
    <row r="9" spans="1:16">
      <c r="A9" s="5" t="s">
        <v>428</v>
      </c>
      <c r="B9" s="6">
        <v>65</v>
      </c>
      <c r="C9" s="6" t="s">
        <v>429</v>
      </c>
      <c r="F9" s="5" t="s">
        <v>428</v>
      </c>
      <c r="G9" s="6">
        <v>46</v>
      </c>
      <c r="H9" s="6" t="s">
        <v>429</v>
      </c>
      <c r="K9" s="5" t="s">
        <v>428</v>
      </c>
      <c r="L9" s="6">
        <v>60</v>
      </c>
      <c r="M9" s="6" t="s">
        <v>429</v>
      </c>
    </row>
    <row r="10" spans="1:16">
      <c r="A10" s="7" t="s">
        <v>430</v>
      </c>
      <c r="B10" s="6">
        <v>30</v>
      </c>
      <c r="C10" s="6" t="s">
        <v>429</v>
      </c>
      <c r="F10" s="7" t="s">
        <v>430</v>
      </c>
      <c r="G10" s="6">
        <v>25</v>
      </c>
      <c r="H10" s="6" t="s">
        <v>429</v>
      </c>
      <c r="K10" s="7" t="s">
        <v>430</v>
      </c>
      <c r="L10" s="6">
        <v>24</v>
      </c>
      <c r="M10" s="6" t="s">
        <v>429</v>
      </c>
      <c r="P10" s="13"/>
    </row>
    <row r="11" spans="1:16">
      <c r="A11" s="7" t="s">
        <v>431</v>
      </c>
      <c r="B11" s="6">
        <v>35</v>
      </c>
      <c r="C11" s="6" t="s">
        <v>429</v>
      </c>
      <c r="F11" s="7" t="s">
        <v>431</v>
      </c>
      <c r="G11" s="6">
        <v>21</v>
      </c>
      <c r="H11" s="6" t="s">
        <v>429</v>
      </c>
      <c r="K11" s="7" t="s">
        <v>431</v>
      </c>
      <c r="L11" s="6">
        <v>36</v>
      </c>
      <c r="M11" s="6" t="s">
        <v>429</v>
      </c>
      <c r="P11" s="13"/>
    </row>
    <row r="12" spans="1:16">
      <c r="A12" s="3" t="s">
        <v>432</v>
      </c>
      <c r="B12" s="4"/>
      <c r="C12" s="4"/>
      <c r="F12" s="3" t="s">
        <v>432</v>
      </c>
      <c r="G12" s="4"/>
      <c r="H12" s="4"/>
      <c r="K12" s="3" t="s">
        <v>432</v>
      </c>
      <c r="L12" s="4"/>
      <c r="M12" s="4"/>
    </row>
    <row r="13" spans="1:16">
      <c r="A13" s="5" t="s">
        <v>433</v>
      </c>
      <c r="B13" s="6">
        <v>30</v>
      </c>
      <c r="C13" s="6" t="s">
        <v>434</v>
      </c>
      <c r="F13" s="5" t="s">
        <v>433</v>
      </c>
      <c r="G13" s="6">
        <v>30</v>
      </c>
      <c r="H13" s="6" t="s">
        <v>434</v>
      </c>
      <c r="K13" s="5" t="s">
        <v>433</v>
      </c>
      <c r="L13" s="6">
        <v>24</v>
      </c>
      <c r="M13" s="6" t="s">
        <v>434</v>
      </c>
    </row>
    <row r="14" spans="1:16">
      <c r="A14" s="5" t="s">
        <v>435</v>
      </c>
      <c r="B14" s="6">
        <v>40</v>
      </c>
      <c r="C14" s="6" t="s">
        <v>434</v>
      </c>
      <c r="F14" s="5" t="s">
        <v>435</v>
      </c>
      <c r="G14" s="6">
        <v>29</v>
      </c>
      <c r="H14" s="6" t="s">
        <v>434</v>
      </c>
      <c r="K14" s="5" t="s">
        <v>435</v>
      </c>
      <c r="L14" s="6">
        <v>36</v>
      </c>
      <c r="M14" s="6" t="s">
        <v>434</v>
      </c>
    </row>
    <row r="15" spans="1:16">
      <c r="A15" s="3" t="s">
        <v>436</v>
      </c>
      <c r="B15" s="4"/>
      <c r="C15" s="4"/>
      <c r="F15" s="3" t="s">
        <v>436</v>
      </c>
      <c r="G15" s="4"/>
      <c r="H15" s="4"/>
      <c r="K15" s="3" t="s">
        <v>436</v>
      </c>
      <c r="L15" s="4"/>
      <c r="M15" s="4"/>
    </row>
    <row r="16" spans="1:16">
      <c r="A16" s="5" t="s">
        <v>437</v>
      </c>
      <c r="B16" s="6">
        <v>52</v>
      </c>
      <c r="C16" s="6" t="s">
        <v>438</v>
      </c>
      <c r="F16" s="5" t="s">
        <v>437</v>
      </c>
      <c r="G16" s="6">
        <v>52</v>
      </c>
      <c r="H16" s="6" t="s">
        <v>438</v>
      </c>
      <c r="K16" s="5" t="s">
        <v>437</v>
      </c>
      <c r="L16" s="6">
        <v>52</v>
      </c>
      <c r="M16" s="6" t="s">
        <v>438</v>
      </c>
    </row>
    <row r="17" spans="1:13">
      <c r="A17" s="5" t="s">
        <v>439</v>
      </c>
      <c r="B17" s="6">
        <v>6</v>
      </c>
      <c r="C17" s="6" t="s">
        <v>440</v>
      </c>
      <c r="F17" s="5" t="s">
        <v>439</v>
      </c>
      <c r="G17" s="6">
        <v>3</v>
      </c>
      <c r="H17" s="6" t="s">
        <v>440</v>
      </c>
      <c r="K17" s="5" t="s">
        <v>439</v>
      </c>
      <c r="L17" s="6">
        <v>6</v>
      </c>
      <c r="M17" s="6" t="s">
        <v>440</v>
      </c>
    </row>
    <row r="18" spans="1:13">
      <c r="A18" s="5" t="s">
        <v>441</v>
      </c>
      <c r="B18" s="6">
        <v>2</v>
      </c>
      <c r="C18" s="6" t="s">
        <v>442</v>
      </c>
      <c r="F18" s="5" t="s">
        <v>441</v>
      </c>
      <c r="G18" s="6">
        <v>2</v>
      </c>
      <c r="H18" s="6" t="s">
        <v>442</v>
      </c>
      <c r="K18" s="5" t="s">
        <v>441</v>
      </c>
      <c r="L18" s="6">
        <v>2</v>
      </c>
      <c r="M18" s="6" t="s">
        <v>442</v>
      </c>
    </row>
    <row r="19" spans="1:13">
      <c r="A19" s="5" t="s">
        <v>443</v>
      </c>
      <c r="B19" s="6">
        <v>6</v>
      </c>
      <c r="C19" s="6" t="s">
        <v>444</v>
      </c>
      <c r="F19" s="5" t="s">
        <v>443</v>
      </c>
      <c r="G19" s="6">
        <v>6</v>
      </c>
      <c r="H19" s="6" t="s">
        <v>444</v>
      </c>
      <c r="K19" s="5" t="s">
        <v>443</v>
      </c>
      <c r="L19" s="6">
        <v>5.5</v>
      </c>
      <c r="M19" s="6" t="s">
        <v>444</v>
      </c>
    </row>
    <row r="20" spans="1:13">
      <c r="A20" s="5" t="s">
        <v>445</v>
      </c>
      <c r="B20" s="8">
        <v>30</v>
      </c>
      <c r="C20" s="6" t="s">
        <v>423</v>
      </c>
      <c r="F20" s="5" t="s">
        <v>445</v>
      </c>
      <c r="G20" s="8">
        <v>25</v>
      </c>
      <c r="H20" s="6" t="s">
        <v>423</v>
      </c>
      <c r="K20" s="5" t="s">
        <v>445</v>
      </c>
      <c r="L20" s="8">
        <v>24</v>
      </c>
      <c r="M20" s="6" t="s">
        <v>423</v>
      </c>
    </row>
    <row r="21" spans="1:13">
      <c r="A21" s="5" t="s">
        <v>446</v>
      </c>
      <c r="B21" s="8">
        <v>35</v>
      </c>
      <c r="C21" s="6" t="s">
        <v>423</v>
      </c>
      <c r="F21" s="5" t="s">
        <v>446</v>
      </c>
      <c r="G21" s="8">
        <v>20</v>
      </c>
      <c r="H21" s="6" t="s">
        <v>423</v>
      </c>
      <c r="K21" s="5" t="s">
        <v>446</v>
      </c>
      <c r="L21" s="12">
        <v>36</v>
      </c>
      <c r="M21" s="6" t="s">
        <v>423</v>
      </c>
    </row>
    <row r="24" spans="1:13">
      <c r="A24" s="9" t="s">
        <v>447</v>
      </c>
      <c r="B24" s="10">
        <f>(B20+G20+L20)/3</f>
        <v>26.3333333333333</v>
      </c>
      <c r="C24" s="9" t="s">
        <v>423</v>
      </c>
    </row>
    <row r="25" spans="1:13">
      <c r="A25" s="9" t="s">
        <v>448</v>
      </c>
      <c r="B25" s="10">
        <f>(B21+G21+L21)/3</f>
        <v>30.3333333333333</v>
      </c>
      <c r="C25" s="9" t="s">
        <v>423</v>
      </c>
    </row>
  </sheetData>
  <mergeCells count="4">
    <mergeCell ref="A1:M1"/>
    <mergeCell ref="B2:C2"/>
    <mergeCell ref="G2:H2"/>
    <mergeCell ref="L2:M2"/>
  </mergeCells>
  <phoneticPr fontId="5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6"/>
  <sheetViews>
    <sheetView zoomScaleNormal="56" workbookViewId="0">
      <selection activeCell="J436" sqref="J436"/>
    </sheetView>
  </sheetViews>
  <sheetFormatPr baseColWidth="10" defaultColWidth="11" defaultRowHeight="16"/>
  <cols>
    <col min="1" max="1" width="26.83203125" customWidth="1"/>
    <col min="2" max="2" width="23.5" customWidth="1"/>
    <col min="3" max="3" width="25.6640625" customWidth="1"/>
    <col min="4" max="4" width="26.5" customWidth="1"/>
    <col min="5" max="5" width="13.5" customWidth="1"/>
    <col min="7" max="7" width="19.5" customWidth="1"/>
    <col min="8" max="8" width="23.5" customWidth="1"/>
    <col min="9" max="9" width="25.33203125" customWidth="1"/>
    <col min="10" max="10" width="28.5" customWidth="1"/>
    <col min="11" max="11" width="12.83203125" customWidth="1"/>
    <col min="13" max="13" width="19.83203125" customWidth="1"/>
    <col min="14" max="14" width="24" customWidth="1"/>
    <col min="15" max="15" width="24.5" customWidth="1"/>
    <col min="16" max="16" width="28.83203125" customWidth="1"/>
    <col min="17" max="17" width="15" customWidth="1"/>
  </cols>
  <sheetData>
    <row r="1" spans="1:17" ht="18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7" ht="18">
      <c r="A2" s="178" t="s">
        <v>4</v>
      </c>
      <c r="B2" s="193"/>
      <c r="C2" s="193"/>
      <c r="D2" s="20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s="163" customFormat="1" ht="18">
      <c r="A3" s="166" t="s">
        <v>49</v>
      </c>
      <c r="B3" s="166" t="s">
        <v>8</v>
      </c>
      <c r="C3" s="166" t="s">
        <v>9</v>
      </c>
      <c r="D3" s="177"/>
      <c r="E3" s="177"/>
      <c r="F3" s="177"/>
      <c r="G3" s="166" t="s">
        <v>49</v>
      </c>
      <c r="H3" s="166" t="s">
        <v>8</v>
      </c>
      <c r="I3" s="166" t="s">
        <v>9</v>
      </c>
      <c r="J3" s="177"/>
      <c r="K3" s="177"/>
      <c r="L3" s="177"/>
      <c r="M3" s="166" t="s">
        <v>49</v>
      </c>
      <c r="N3" s="166" t="s">
        <v>8</v>
      </c>
      <c r="O3" s="166" t="s">
        <v>9</v>
      </c>
      <c r="P3" s="177"/>
    </row>
    <row r="4" spans="1:17" s="163" customFormat="1" ht="18">
      <c r="A4" s="172" t="s">
        <v>10</v>
      </c>
      <c r="B4" s="195">
        <v>12</v>
      </c>
      <c r="C4" s="195">
        <v>12</v>
      </c>
      <c r="D4" s="177"/>
      <c r="E4" s="210" t="s">
        <v>32</v>
      </c>
      <c r="F4" s="177"/>
      <c r="G4" s="172" t="s">
        <v>10</v>
      </c>
      <c r="H4" s="195">
        <v>12</v>
      </c>
      <c r="I4" s="195">
        <v>12</v>
      </c>
      <c r="J4" s="177"/>
      <c r="K4" s="210" t="s">
        <v>32</v>
      </c>
      <c r="L4" s="177"/>
      <c r="M4" s="172" t="s">
        <v>10</v>
      </c>
      <c r="N4" s="195">
        <v>12</v>
      </c>
      <c r="O4" s="195">
        <v>12</v>
      </c>
      <c r="P4" s="177"/>
      <c r="Q4" s="210" t="s">
        <v>32</v>
      </c>
    </row>
    <row r="5" spans="1:17" s="163" customFormat="1" ht="18">
      <c r="A5" s="165" t="s">
        <v>11</v>
      </c>
      <c r="B5" s="164" t="s">
        <v>12</v>
      </c>
      <c r="C5" s="164" t="s">
        <v>13</v>
      </c>
      <c r="D5" s="164" t="s">
        <v>14</v>
      </c>
      <c r="E5" s="164" t="s">
        <v>15</v>
      </c>
      <c r="G5" s="165" t="s">
        <v>11</v>
      </c>
      <c r="H5" s="164" t="s">
        <v>16</v>
      </c>
      <c r="I5" s="164" t="s">
        <v>17</v>
      </c>
      <c r="J5" s="164" t="s">
        <v>18</v>
      </c>
      <c r="K5" s="164" t="s">
        <v>15</v>
      </c>
      <c r="L5" s="177"/>
      <c r="M5" s="165" t="s">
        <v>11</v>
      </c>
      <c r="N5" s="164" t="s">
        <v>19</v>
      </c>
      <c r="O5" s="164" t="s">
        <v>20</v>
      </c>
      <c r="P5" s="164" t="s">
        <v>21</v>
      </c>
      <c r="Q5" s="164" t="s">
        <v>15</v>
      </c>
    </row>
    <row r="6" spans="1:17" s="163" customFormat="1" ht="18">
      <c r="A6" s="168" t="s">
        <v>22</v>
      </c>
      <c r="B6" s="196">
        <v>18.587517806267801</v>
      </c>
      <c r="C6" s="196">
        <v>37.813165364583298</v>
      </c>
      <c r="D6" s="196">
        <v>19.225647558315501</v>
      </c>
      <c r="E6" s="197">
        <v>0.50843793088855505</v>
      </c>
      <c r="G6" s="168" t="s">
        <v>22</v>
      </c>
      <c r="H6" s="196">
        <v>223.050213675214</v>
      </c>
      <c r="I6" s="196">
        <v>453.75798437499998</v>
      </c>
      <c r="J6" s="196">
        <v>230.70777069978601</v>
      </c>
      <c r="K6" s="197">
        <v>0.50843793088855505</v>
      </c>
      <c r="L6" s="177"/>
      <c r="M6" s="168" t="s">
        <v>22</v>
      </c>
      <c r="N6" s="196">
        <v>69591.666666666701</v>
      </c>
      <c r="O6" s="196">
        <v>141572.491125</v>
      </c>
      <c r="P6" s="196">
        <v>71980.8244583333</v>
      </c>
      <c r="Q6" s="197">
        <v>0.50843793088855505</v>
      </c>
    </row>
    <row r="7" spans="1:17" s="163" customFormat="1" ht="18">
      <c r="A7" s="168" t="s">
        <v>23</v>
      </c>
      <c r="B7" s="196">
        <v>103.97970085470099</v>
      </c>
      <c r="C7" s="196">
        <v>39.091880341880298</v>
      </c>
      <c r="D7" s="196">
        <v>-64.887820512820497</v>
      </c>
      <c r="E7" s="197">
        <v>-1.6598797485651799</v>
      </c>
      <c r="G7" s="168" t="s">
        <v>23</v>
      </c>
      <c r="H7" s="196">
        <v>1247.7564102564099</v>
      </c>
      <c r="I7" s="196">
        <v>469.10256410256397</v>
      </c>
      <c r="J7" s="196">
        <v>-778.65384615384596</v>
      </c>
      <c r="K7" s="197">
        <v>-1.6598797485651799</v>
      </c>
      <c r="L7" s="177"/>
      <c r="M7" s="168" t="s">
        <v>23</v>
      </c>
      <c r="N7" s="196">
        <v>389300</v>
      </c>
      <c r="O7" s="196">
        <v>146360</v>
      </c>
      <c r="P7" s="196">
        <v>-242940</v>
      </c>
      <c r="Q7" s="197">
        <v>-1.6598797485651799</v>
      </c>
    </row>
    <row r="8" spans="1:17" s="163" customFormat="1" ht="18">
      <c r="A8" s="168" t="s">
        <v>24</v>
      </c>
      <c r="B8" s="196">
        <v>255.92788811965801</v>
      </c>
      <c r="C8" s="196">
        <v>296.94835749287802</v>
      </c>
      <c r="D8" s="196">
        <v>41.020469373219399</v>
      </c>
      <c r="E8" s="197">
        <v>0.138140078360943</v>
      </c>
      <c r="G8" s="168" t="s">
        <v>24</v>
      </c>
      <c r="H8" s="196">
        <v>3071.1346574359</v>
      </c>
      <c r="I8" s="196">
        <v>3563.3802899145298</v>
      </c>
      <c r="J8" s="196">
        <v>492.24563247863301</v>
      </c>
      <c r="K8" s="197">
        <v>0.138140078360943</v>
      </c>
      <c r="L8" s="177"/>
      <c r="M8" s="168" t="s">
        <v>24</v>
      </c>
      <c r="N8" s="196">
        <v>958194.01312000002</v>
      </c>
      <c r="O8" s="196">
        <v>1111774.65045333</v>
      </c>
      <c r="P8" s="196">
        <v>153580.637333333</v>
      </c>
      <c r="Q8" s="197">
        <v>0.138140078360943</v>
      </c>
    </row>
    <row r="9" spans="1:17" s="163" customFormat="1" ht="18">
      <c r="A9" s="171" t="s">
        <v>25</v>
      </c>
      <c r="B9" s="204">
        <v>0.67492603550295904</v>
      </c>
      <c r="C9" s="204">
        <v>2.0019723865877701</v>
      </c>
      <c r="D9" s="204">
        <v>1.3270463510848101</v>
      </c>
      <c r="E9" s="197">
        <v>0.66286945812807896</v>
      </c>
      <c r="G9" s="171" t="s">
        <v>25</v>
      </c>
      <c r="H9" s="196">
        <v>8.0991124260355001</v>
      </c>
      <c r="I9" s="196">
        <v>24.023668639053302</v>
      </c>
      <c r="J9" s="196">
        <v>15.9245562130178</v>
      </c>
      <c r="K9" s="197">
        <v>0.66286945812807896</v>
      </c>
      <c r="L9" s="177"/>
      <c r="M9" s="171" t="s">
        <v>25</v>
      </c>
      <c r="N9" s="204">
        <v>2526.9230769230799</v>
      </c>
      <c r="O9" s="204">
        <v>7495.3846153846198</v>
      </c>
      <c r="P9" s="204">
        <v>4968.4615384615399</v>
      </c>
      <c r="Q9" s="197">
        <v>0.66286945812807896</v>
      </c>
    </row>
    <row r="10" spans="1:17" s="163" customFormat="1" ht="18">
      <c r="A10" s="171" t="s">
        <v>26</v>
      </c>
      <c r="B10" s="204">
        <v>5.30849358974359E-3</v>
      </c>
      <c r="C10" s="204">
        <v>2.13609467455621E-2</v>
      </c>
      <c r="D10" s="204">
        <v>1.6052453155818502E-2</v>
      </c>
      <c r="E10" s="197">
        <v>0.751486034164358</v>
      </c>
      <c r="G10" s="171" t="s">
        <v>26</v>
      </c>
      <c r="H10" s="196">
        <v>6.37019230769231E-2</v>
      </c>
      <c r="I10" s="196">
        <v>0.25633136094674602</v>
      </c>
      <c r="J10" s="196">
        <v>0.19262943786982301</v>
      </c>
      <c r="K10" s="197">
        <v>0.751486034164358</v>
      </c>
      <c r="L10" s="177"/>
      <c r="M10" s="171" t="s">
        <v>26</v>
      </c>
      <c r="N10" s="204">
        <v>19.875</v>
      </c>
      <c r="O10" s="204">
        <v>79.975384615384598</v>
      </c>
      <c r="P10" s="204">
        <v>60.100384615384598</v>
      </c>
      <c r="Q10" s="197">
        <v>0.751486034164358</v>
      </c>
    </row>
    <row r="11" spans="1:17" s="163" customFormat="1" ht="18">
      <c r="A11" s="171" t="s">
        <v>27</v>
      </c>
      <c r="B11" s="204">
        <v>0.12596153846153799</v>
      </c>
      <c r="C11" s="204">
        <v>0.62980769230769196</v>
      </c>
      <c r="D11" s="204">
        <v>0.50384615384615405</v>
      </c>
      <c r="E11" s="197">
        <v>0.8</v>
      </c>
      <c r="G11" s="171" t="s">
        <v>27</v>
      </c>
      <c r="H11" s="196">
        <v>1.5115384615384599</v>
      </c>
      <c r="I11" s="196">
        <v>7.5576923076923102</v>
      </c>
      <c r="J11" s="196">
        <v>6.0461538461538504</v>
      </c>
      <c r="K11" s="197">
        <v>0.8</v>
      </c>
      <c r="L11" s="177"/>
      <c r="M11" s="171" t="s">
        <v>27</v>
      </c>
      <c r="N11" s="204">
        <v>471.6</v>
      </c>
      <c r="O11" s="204">
        <v>2358</v>
      </c>
      <c r="P11" s="204">
        <v>1886.4</v>
      </c>
      <c r="Q11" s="197">
        <v>0.8</v>
      </c>
    </row>
    <row r="12" spans="1:17" s="172" customFormat="1" ht="18">
      <c r="A12" s="164" t="s">
        <v>28</v>
      </c>
      <c r="B12" s="205">
        <v>379.30130284818102</v>
      </c>
      <c r="C12" s="205">
        <v>376.50654422498201</v>
      </c>
      <c r="D12" s="205">
        <v>-2.79475862319878</v>
      </c>
      <c r="E12" s="211">
        <v>-7.4228686488083196E-3</v>
      </c>
      <c r="F12" s="163"/>
      <c r="G12" s="164" t="s">
        <v>28</v>
      </c>
      <c r="H12" s="205">
        <v>4551.6156341781698</v>
      </c>
      <c r="I12" s="205">
        <v>4518.0785306997896</v>
      </c>
      <c r="J12" s="205">
        <v>-33.537103478385802</v>
      </c>
      <c r="K12" s="211">
        <v>-7.4228686488084098E-3</v>
      </c>
      <c r="L12" s="177"/>
      <c r="M12" s="164" t="s">
        <v>28</v>
      </c>
      <c r="N12" s="205">
        <v>1420104.0778635901</v>
      </c>
      <c r="O12" s="205">
        <v>1409640.5015783301</v>
      </c>
      <c r="P12" s="205">
        <v>-10463.5762852564</v>
      </c>
      <c r="Q12" s="211">
        <v>-7.4228686488084202E-3</v>
      </c>
    </row>
    <row r="13" spans="1:17" ht="18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</row>
    <row r="14" spans="1:17" ht="18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</row>
    <row r="15" spans="1:17" s="163" customFormat="1" ht="18">
      <c r="A15" s="166" t="s">
        <v>31</v>
      </c>
      <c r="B15" s="166" t="s">
        <v>8</v>
      </c>
      <c r="C15" s="166" t="s">
        <v>9</v>
      </c>
      <c r="D15" s="177"/>
      <c r="E15" s="177"/>
      <c r="F15" s="177"/>
      <c r="G15" s="166" t="s">
        <v>31</v>
      </c>
      <c r="H15" s="166" t="s">
        <v>8</v>
      </c>
      <c r="I15" s="166" t="s">
        <v>9</v>
      </c>
      <c r="J15" s="177"/>
      <c r="K15" s="177"/>
      <c r="L15" s="177"/>
      <c r="M15" s="166" t="s">
        <v>31</v>
      </c>
      <c r="N15" s="166" t="s">
        <v>8</v>
      </c>
      <c r="O15" s="166" t="s">
        <v>9</v>
      </c>
      <c r="P15" s="177"/>
    </row>
    <row r="16" spans="1:17" s="163" customFormat="1" ht="18">
      <c r="A16" s="172" t="s">
        <v>10</v>
      </c>
      <c r="B16" s="195">
        <v>15</v>
      </c>
      <c r="C16" s="195">
        <v>15</v>
      </c>
      <c r="D16" s="177"/>
      <c r="E16" s="201" t="s">
        <v>34</v>
      </c>
      <c r="F16" s="177"/>
      <c r="G16" s="172" t="s">
        <v>10</v>
      </c>
      <c r="H16" s="195">
        <v>15</v>
      </c>
      <c r="I16" s="195">
        <v>15</v>
      </c>
      <c r="J16" s="177"/>
      <c r="K16" s="201" t="s">
        <v>34</v>
      </c>
      <c r="L16" s="177"/>
      <c r="M16" s="172" t="s">
        <v>10</v>
      </c>
      <c r="N16" s="195">
        <v>15</v>
      </c>
      <c r="O16" s="195">
        <v>15</v>
      </c>
      <c r="P16" s="177"/>
      <c r="Q16" s="201" t="s">
        <v>34</v>
      </c>
    </row>
    <row r="17" spans="1:17" s="163" customFormat="1" ht="18">
      <c r="A17" s="165" t="s">
        <v>11</v>
      </c>
      <c r="B17" s="164" t="s">
        <v>12</v>
      </c>
      <c r="C17" s="164" t="s">
        <v>13</v>
      </c>
      <c r="D17" s="164" t="s">
        <v>14</v>
      </c>
      <c r="E17" s="164" t="s">
        <v>15</v>
      </c>
      <c r="G17" s="165" t="s">
        <v>11</v>
      </c>
      <c r="H17" s="164" t="s">
        <v>16</v>
      </c>
      <c r="I17" s="164" t="s">
        <v>17</v>
      </c>
      <c r="J17" s="164" t="s">
        <v>18</v>
      </c>
      <c r="K17" s="164" t="s">
        <v>15</v>
      </c>
      <c r="L17" s="177"/>
      <c r="M17" s="165" t="s">
        <v>11</v>
      </c>
      <c r="N17" s="164" t="s">
        <v>19</v>
      </c>
      <c r="O17" s="164" t="s">
        <v>20</v>
      </c>
      <c r="P17" s="164" t="s">
        <v>21</v>
      </c>
      <c r="Q17" s="164" t="s">
        <v>15</v>
      </c>
    </row>
    <row r="18" spans="1:17" s="163" customFormat="1" ht="18">
      <c r="A18" s="168" t="s">
        <v>22</v>
      </c>
      <c r="B18" s="196">
        <v>18.465099715099701</v>
      </c>
      <c r="C18" s="196">
        <v>37.813165364583298</v>
      </c>
      <c r="D18" s="196">
        <v>19.348065649483601</v>
      </c>
      <c r="E18" s="197">
        <v>0.51167537715859801</v>
      </c>
      <c r="G18" s="168" t="s">
        <v>22</v>
      </c>
      <c r="H18" s="196">
        <v>276.97649572649601</v>
      </c>
      <c r="I18" s="196">
        <v>567.19748046874997</v>
      </c>
      <c r="J18" s="196">
        <v>290.22098474225402</v>
      </c>
      <c r="K18" s="197">
        <v>0.51167537715859801</v>
      </c>
      <c r="L18" s="177"/>
      <c r="M18" s="168" t="s">
        <v>22</v>
      </c>
      <c r="N18" s="196">
        <v>86416.666666666701</v>
      </c>
      <c r="O18" s="196">
        <v>176965.61390624999</v>
      </c>
      <c r="P18" s="196">
        <v>90548.9472395833</v>
      </c>
      <c r="Q18" s="197">
        <v>0.51167537715859801</v>
      </c>
    </row>
    <row r="19" spans="1:17" s="163" customFormat="1" ht="18">
      <c r="A19" s="168" t="s">
        <v>23</v>
      </c>
      <c r="B19" s="196">
        <v>89.807692307692307</v>
      </c>
      <c r="C19" s="196">
        <v>39.091880341880298</v>
      </c>
      <c r="D19" s="196">
        <v>-50.715811965812001</v>
      </c>
      <c r="E19" s="197">
        <v>-1.2973490024596901</v>
      </c>
      <c r="G19" s="168" t="s">
        <v>23</v>
      </c>
      <c r="H19" s="196">
        <v>1347.11538461538</v>
      </c>
      <c r="I19" s="196">
        <v>586.37820512820497</v>
      </c>
      <c r="J19" s="196">
        <v>-760.73717948718001</v>
      </c>
      <c r="K19" s="197">
        <v>-1.2973490024596901</v>
      </c>
      <c r="L19" s="177"/>
      <c r="M19" s="168" t="s">
        <v>23</v>
      </c>
      <c r="N19" s="196">
        <v>420300</v>
      </c>
      <c r="O19" s="196">
        <v>182950</v>
      </c>
      <c r="P19" s="196">
        <v>-237350</v>
      </c>
      <c r="Q19" s="197">
        <v>-1.2973490024596901</v>
      </c>
    </row>
    <row r="20" spans="1:17" s="163" customFormat="1" ht="18">
      <c r="A20" s="168" t="s">
        <v>24</v>
      </c>
      <c r="B20" s="196">
        <v>250.758652376068</v>
      </c>
      <c r="C20" s="196">
        <v>296.94835749287802</v>
      </c>
      <c r="D20" s="196">
        <v>46.189705116809101</v>
      </c>
      <c r="E20" s="197">
        <v>0.155547939401945</v>
      </c>
      <c r="G20" s="168" t="s">
        <v>24</v>
      </c>
      <c r="H20" s="196">
        <v>3761.3797856410301</v>
      </c>
      <c r="I20" s="196">
        <v>4454.2253623931601</v>
      </c>
      <c r="J20" s="196">
        <v>692.84557675213705</v>
      </c>
      <c r="K20" s="197">
        <v>0.155547939401945</v>
      </c>
      <c r="L20" s="177"/>
      <c r="M20" s="168" t="s">
        <v>24</v>
      </c>
      <c r="N20" s="196">
        <v>1173550.49312</v>
      </c>
      <c r="O20" s="196">
        <v>1389718.31306667</v>
      </c>
      <c r="P20" s="196">
        <v>216167.819946667</v>
      </c>
      <c r="Q20" s="197">
        <v>0.155547939401945</v>
      </c>
    </row>
    <row r="21" spans="1:17" s="163" customFormat="1" ht="18">
      <c r="A21" s="171" t="s">
        <v>25</v>
      </c>
      <c r="B21" s="204">
        <v>0.67492603550295904</v>
      </c>
      <c r="C21" s="204">
        <v>2.0019723865877701</v>
      </c>
      <c r="D21" s="204">
        <v>1.3270463510848101</v>
      </c>
      <c r="E21" s="197">
        <v>0.66286945812807896</v>
      </c>
      <c r="G21" s="171" t="s">
        <v>25</v>
      </c>
      <c r="H21" s="196">
        <v>10.123890532544401</v>
      </c>
      <c r="I21" s="196">
        <v>30.029585798816601</v>
      </c>
      <c r="J21" s="196">
        <v>19.9056952662722</v>
      </c>
      <c r="K21" s="197">
        <v>0.66286945812807896</v>
      </c>
      <c r="L21" s="177"/>
      <c r="M21" s="171" t="s">
        <v>25</v>
      </c>
      <c r="N21" s="204">
        <v>3158.6538461538498</v>
      </c>
      <c r="O21" s="204">
        <v>9369.2307692307695</v>
      </c>
      <c r="P21" s="204">
        <v>6210.5769230769201</v>
      </c>
      <c r="Q21" s="197">
        <v>0.66286945812807896</v>
      </c>
    </row>
    <row r="22" spans="1:17" s="163" customFormat="1" ht="18">
      <c r="A22" s="171" t="s">
        <v>26</v>
      </c>
      <c r="B22" s="204">
        <v>5.30849358974359E-3</v>
      </c>
      <c r="C22" s="204">
        <v>2.13609467455621E-2</v>
      </c>
      <c r="D22" s="204">
        <v>1.6052453155818502E-2</v>
      </c>
      <c r="E22" s="197">
        <v>0.751486034164358</v>
      </c>
      <c r="G22" s="171" t="s">
        <v>26</v>
      </c>
      <c r="H22" s="196">
        <v>7.9627403846153896E-2</v>
      </c>
      <c r="I22" s="196">
        <v>0.320414201183432</v>
      </c>
      <c r="J22" s="196">
        <v>0.24078679733727801</v>
      </c>
      <c r="K22" s="197">
        <v>0.751486034164358</v>
      </c>
      <c r="L22" s="177"/>
      <c r="M22" s="171" t="s">
        <v>26</v>
      </c>
      <c r="N22" s="204">
        <v>24.84375</v>
      </c>
      <c r="O22" s="204">
        <v>99.969230769230805</v>
      </c>
      <c r="P22" s="204">
        <v>75.125480769230805</v>
      </c>
      <c r="Q22" s="197">
        <v>0.751486034164358</v>
      </c>
    </row>
    <row r="23" spans="1:17" s="163" customFormat="1" ht="18">
      <c r="A23" s="171" t="s">
        <v>27</v>
      </c>
      <c r="B23" s="204">
        <v>0.100769230769231</v>
      </c>
      <c r="C23" s="204">
        <v>0.50384615384615405</v>
      </c>
      <c r="D23" s="204">
        <v>0.403076923076923</v>
      </c>
      <c r="E23" s="197">
        <v>0.8</v>
      </c>
      <c r="G23" s="171" t="s">
        <v>27</v>
      </c>
      <c r="H23" s="196">
        <v>1.5115384615384599</v>
      </c>
      <c r="I23" s="196">
        <v>7.5576923076923102</v>
      </c>
      <c r="J23" s="196">
        <v>6.0461538461538504</v>
      </c>
      <c r="K23" s="197">
        <v>0.8</v>
      </c>
      <c r="L23" s="177"/>
      <c r="M23" s="171" t="s">
        <v>27</v>
      </c>
      <c r="N23" s="204">
        <v>471.6</v>
      </c>
      <c r="O23" s="204">
        <v>2358</v>
      </c>
      <c r="P23" s="204">
        <v>1886.4</v>
      </c>
      <c r="Q23" s="197">
        <v>0.8</v>
      </c>
    </row>
    <row r="24" spans="1:17" s="172" customFormat="1" ht="18">
      <c r="A24" s="164" t="s">
        <v>28</v>
      </c>
      <c r="B24" s="205">
        <v>359.81244815872202</v>
      </c>
      <c r="C24" s="205">
        <v>376.380582686521</v>
      </c>
      <c r="D24" s="205">
        <v>16.5681345277983</v>
      </c>
      <c r="E24" s="211">
        <v>4.4019631431405602E-2</v>
      </c>
      <c r="F24" s="163"/>
      <c r="G24" s="164" t="s">
        <v>28</v>
      </c>
      <c r="H24" s="205">
        <v>5397.1867223808304</v>
      </c>
      <c r="I24" s="205">
        <v>5645.7087402978104</v>
      </c>
      <c r="J24" s="205">
        <v>248.52201791697499</v>
      </c>
      <c r="K24" s="211">
        <v>4.4019631431405602E-2</v>
      </c>
      <c r="L24" s="177"/>
      <c r="M24" s="164" t="s">
        <v>28</v>
      </c>
      <c r="N24" s="205">
        <v>1683922.2573828199</v>
      </c>
      <c r="O24" s="205">
        <v>1761461.12697292</v>
      </c>
      <c r="P24" s="205">
        <v>77538.869590096394</v>
      </c>
      <c r="Q24" s="211">
        <v>4.4019631431405699E-2</v>
      </c>
    </row>
    <row r="25" spans="1:17" ht="18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</row>
    <row r="26" spans="1:17" ht="18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7" ht="18">
      <c r="A27" s="166" t="s">
        <v>33</v>
      </c>
      <c r="B27" s="166" t="s">
        <v>8</v>
      </c>
      <c r="C27" s="166" t="s">
        <v>9</v>
      </c>
      <c r="D27" s="178"/>
      <c r="E27" s="188"/>
      <c r="F27" s="188"/>
      <c r="G27" s="166" t="s">
        <v>33</v>
      </c>
      <c r="H27" s="166" t="s">
        <v>8</v>
      </c>
      <c r="I27" s="166" t="s">
        <v>9</v>
      </c>
      <c r="J27" s="188"/>
      <c r="K27" s="188"/>
      <c r="L27" s="188"/>
      <c r="M27" s="166" t="s">
        <v>33</v>
      </c>
      <c r="N27" s="166" t="s">
        <v>8</v>
      </c>
      <c r="O27" s="166" t="s">
        <v>9</v>
      </c>
      <c r="P27" s="188"/>
      <c r="Q27" s="193"/>
    </row>
    <row r="28" spans="1:17" ht="18">
      <c r="A28" s="172" t="s">
        <v>10</v>
      </c>
      <c r="B28" s="207">
        <v>18</v>
      </c>
      <c r="C28" s="207">
        <v>18</v>
      </c>
      <c r="D28" s="188"/>
      <c r="E28" s="201" t="s">
        <v>34</v>
      </c>
      <c r="F28" s="188"/>
      <c r="G28" s="172" t="s">
        <v>10</v>
      </c>
      <c r="H28" s="207">
        <v>18</v>
      </c>
      <c r="I28" s="207">
        <v>18</v>
      </c>
      <c r="J28" s="188"/>
      <c r="K28" s="201" t="s">
        <v>34</v>
      </c>
      <c r="L28" s="188"/>
      <c r="M28" s="172" t="s">
        <v>10</v>
      </c>
      <c r="N28" s="207">
        <v>18</v>
      </c>
      <c r="O28" s="207">
        <v>18</v>
      </c>
      <c r="P28" s="188"/>
      <c r="Q28" s="201" t="s">
        <v>34</v>
      </c>
    </row>
    <row r="29" spans="1:17" s="163" customFormat="1" ht="18">
      <c r="A29" s="165" t="s">
        <v>11</v>
      </c>
      <c r="B29" s="164" t="s">
        <v>12</v>
      </c>
      <c r="C29" s="164" t="s">
        <v>13</v>
      </c>
      <c r="D29" s="164" t="s">
        <v>14</v>
      </c>
      <c r="E29" s="164" t="s">
        <v>15</v>
      </c>
      <c r="G29" s="165" t="s">
        <v>11</v>
      </c>
      <c r="H29" s="164" t="s">
        <v>16</v>
      </c>
      <c r="I29" s="164" t="s">
        <v>17</v>
      </c>
      <c r="J29" s="164" t="s">
        <v>18</v>
      </c>
      <c r="K29" s="164" t="s">
        <v>15</v>
      </c>
      <c r="L29" s="177"/>
      <c r="M29" s="165" t="s">
        <v>11</v>
      </c>
      <c r="N29" s="164" t="s">
        <v>19</v>
      </c>
      <c r="O29" s="164" t="s">
        <v>20</v>
      </c>
      <c r="P29" s="164" t="s">
        <v>21</v>
      </c>
      <c r="Q29" s="164" t="s">
        <v>15</v>
      </c>
    </row>
    <row r="30" spans="1:17" s="163" customFormat="1" ht="18">
      <c r="A30" s="168" t="s">
        <v>22</v>
      </c>
      <c r="B30" s="196">
        <v>18.383487654321002</v>
      </c>
      <c r="C30" s="196">
        <v>37.813165364583298</v>
      </c>
      <c r="D30" s="196">
        <v>19.4296777102623</v>
      </c>
      <c r="E30" s="197">
        <v>0.51383367467195995</v>
      </c>
      <c r="G30" s="168" t="s">
        <v>22</v>
      </c>
      <c r="H30" s="196">
        <v>330.902777777778</v>
      </c>
      <c r="I30" s="196">
        <v>680.63697656249997</v>
      </c>
      <c r="J30" s="196">
        <v>349.73419878472203</v>
      </c>
      <c r="K30" s="197">
        <v>0.51383367467195995</v>
      </c>
      <c r="L30" s="177"/>
      <c r="M30" s="168" t="s">
        <v>22</v>
      </c>
      <c r="N30" s="196">
        <v>103241.66666666701</v>
      </c>
      <c r="O30" s="196">
        <v>212358.7366875</v>
      </c>
      <c r="P30" s="196">
        <v>109117.07002083299</v>
      </c>
      <c r="Q30" s="197">
        <v>0.51383367467195995</v>
      </c>
    </row>
    <row r="31" spans="1:17" s="163" customFormat="1" ht="18">
      <c r="A31" s="168" t="s">
        <v>23</v>
      </c>
      <c r="B31" s="196">
        <v>80.359686609686605</v>
      </c>
      <c r="C31" s="196">
        <v>39.091880341880298</v>
      </c>
      <c r="D31" s="196">
        <v>-41.2678062678063</v>
      </c>
      <c r="E31" s="197">
        <v>-1.0556618383893599</v>
      </c>
      <c r="G31" s="168" t="s">
        <v>23</v>
      </c>
      <c r="H31" s="196">
        <v>1446.47435897436</v>
      </c>
      <c r="I31" s="196">
        <v>703.65384615384596</v>
      </c>
      <c r="J31" s="196">
        <v>-742.82051282051304</v>
      </c>
      <c r="K31" s="197">
        <v>-1.0556618383893599</v>
      </c>
      <c r="L31" s="177"/>
      <c r="M31" s="168" t="s">
        <v>23</v>
      </c>
      <c r="N31" s="196">
        <v>451300</v>
      </c>
      <c r="O31" s="196">
        <v>219540</v>
      </c>
      <c r="P31" s="196">
        <v>-231760</v>
      </c>
      <c r="Q31" s="197">
        <v>-1.0556618383893599</v>
      </c>
    </row>
    <row r="32" spans="1:17" s="163" customFormat="1" ht="18">
      <c r="A32" s="168" t="s">
        <v>24</v>
      </c>
      <c r="B32" s="196">
        <v>247.31249521367499</v>
      </c>
      <c r="C32" s="196">
        <v>296.94835749287802</v>
      </c>
      <c r="D32" s="196">
        <v>49.6358622792023</v>
      </c>
      <c r="E32" s="197">
        <v>0.16715318009594601</v>
      </c>
      <c r="G32" s="168" t="s">
        <v>24</v>
      </c>
      <c r="H32" s="196">
        <v>4451.6249138461499</v>
      </c>
      <c r="I32" s="196">
        <v>5345.07043487179</v>
      </c>
      <c r="J32" s="196">
        <v>893.44552102564103</v>
      </c>
      <c r="K32" s="197">
        <v>0.16715318009594601</v>
      </c>
      <c r="L32" s="177"/>
      <c r="M32" s="168" t="s">
        <v>24</v>
      </c>
      <c r="N32" s="196">
        <v>1388906.97312</v>
      </c>
      <c r="O32" s="196">
        <v>1667661.9756799999</v>
      </c>
      <c r="P32" s="196">
        <v>278755.00255999999</v>
      </c>
      <c r="Q32" s="197">
        <v>0.16715318009594601</v>
      </c>
    </row>
    <row r="33" spans="1:17" s="163" customFormat="1" ht="18">
      <c r="A33" s="171" t="s">
        <v>25</v>
      </c>
      <c r="B33" s="204">
        <v>0.67492603550295904</v>
      </c>
      <c r="C33" s="204">
        <v>2.0019723865877701</v>
      </c>
      <c r="D33" s="204">
        <v>1.3270463510848101</v>
      </c>
      <c r="E33" s="197">
        <v>0.66286945812807896</v>
      </c>
      <c r="G33" s="171" t="s">
        <v>25</v>
      </c>
      <c r="H33" s="196">
        <v>12.1486686390533</v>
      </c>
      <c r="I33" s="196">
        <v>36.035502958579897</v>
      </c>
      <c r="J33" s="196">
        <v>23.886834319526599</v>
      </c>
      <c r="K33" s="197">
        <v>0.66286945812807896</v>
      </c>
      <c r="L33" s="177"/>
      <c r="M33" s="171" t="s">
        <v>25</v>
      </c>
      <c r="N33" s="204">
        <v>3790.3846153846198</v>
      </c>
      <c r="O33" s="204">
        <v>11243.0769230769</v>
      </c>
      <c r="P33" s="204">
        <v>7452.6923076923104</v>
      </c>
      <c r="Q33" s="197">
        <v>0.66286945812807896</v>
      </c>
    </row>
    <row r="34" spans="1:17" s="163" customFormat="1" ht="18">
      <c r="A34" s="171" t="s">
        <v>26</v>
      </c>
      <c r="B34" s="204">
        <v>5.30849358974359E-3</v>
      </c>
      <c r="C34" s="204">
        <v>2.13609467455621E-2</v>
      </c>
      <c r="D34" s="204">
        <v>1.6052453155818502E-2</v>
      </c>
      <c r="E34" s="197">
        <v>0.751486034164358</v>
      </c>
      <c r="G34" s="171" t="s">
        <v>26</v>
      </c>
      <c r="H34" s="196">
        <v>9.5552884615384595E-2</v>
      </c>
      <c r="I34" s="196">
        <v>0.38449704142011798</v>
      </c>
      <c r="J34" s="196">
        <v>0.28894415680473401</v>
      </c>
      <c r="K34" s="197">
        <v>0.751486034164358</v>
      </c>
      <c r="L34" s="177"/>
      <c r="M34" s="171" t="s">
        <v>26</v>
      </c>
      <c r="N34" s="204">
        <v>29.8125</v>
      </c>
      <c r="O34" s="204">
        <v>119.963076923077</v>
      </c>
      <c r="P34" s="204">
        <v>90.150576923076898</v>
      </c>
      <c r="Q34" s="197">
        <v>0.751486034164358</v>
      </c>
    </row>
    <row r="35" spans="1:17" s="163" customFormat="1" ht="18">
      <c r="A35" s="171" t="s">
        <v>27</v>
      </c>
      <c r="B35" s="204">
        <v>8.3974358974358995E-2</v>
      </c>
      <c r="C35" s="204">
        <v>0.41987179487179499</v>
      </c>
      <c r="D35" s="204">
        <v>0.33589743589743598</v>
      </c>
      <c r="E35" s="197">
        <v>0.8</v>
      </c>
      <c r="G35" s="171" t="s">
        <v>27</v>
      </c>
      <c r="H35" s="196">
        <v>1.5115384615384599</v>
      </c>
      <c r="I35" s="196">
        <v>7.5576923076923102</v>
      </c>
      <c r="J35" s="196">
        <v>6.0461538461538504</v>
      </c>
      <c r="K35" s="197">
        <v>0.8</v>
      </c>
      <c r="L35" s="177"/>
      <c r="M35" s="171" t="s">
        <v>27</v>
      </c>
      <c r="N35" s="204">
        <v>471.6</v>
      </c>
      <c r="O35" s="204">
        <v>2358</v>
      </c>
      <c r="P35" s="204">
        <v>1886.4</v>
      </c>
      <c r="Q35" s="197">
        <v>0.8</v>
      </c>
    </row>
    <row r="36" spans="1:17" s="172" customFormat="1" ht="18">
      <c r="A36" s="164" t="s">
        <v>28</v>
      </c>
      <c r="B36" s="205">
        <v>346.81987836575001</v>
      </c>
      <c r="C36" s="205">
        <v>376.29660832754598</v>
      </c>
      <c r="D36" s="205">
        <v>29.476729961796501</v>
      </c>
      <c r="E36" s="211">
        <v>7.8333764667202405E-2</v>
      </c>
      <c r="F36" s="163"/>
      <c r="G36" s="164" t="s">
        <v>28</v>
      </c>
      <c r="H36" s="205">
        <v>6242.7578105835</v>
      </c>
      <c r="I36" s="205">
        <v>6773.3389498958304</v>
      </c>
      <c r="J36" s="205">
        <v>530.58113931233595</v>
      </c>
      <c r="K36" s="211">
        <v>7.8333764667202294E-2</v>
      </c>
      <c r="L36" s="177"/>
      <c r="M36" s="164" t="s">
        <v>28</v>
      </c>
      <c r="N36" s="205">
        <v>1947740.4369020499</v>
      </c>
      <c r="O36" s="205">
        <v>2113281.7523675002</v>
      </c>
      <c r="P36" s="205">
        <v>165541.31546544901</v>
      </c>
      <c r="Q36" s="211">
        <v>7.8333764667202294E-2</v>
      </c>
    </row>
    <row r="37" spans="1:17" ht="18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</row>
    <row r="38" spans="1:17" ht="18">
      <c r="A38" s="193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1:17" ht="18">
      <c r="A39" s="166" t="s">
        <v>35</v>
      </c>
      <c r="B39" s="166" t="s">
        <v>8</v>
      </c>
      <c r="C39" s="166" t="s">
        <v>9</v>
      </c>
      <c r="D39" s="178"/>
      <c r="E39" s="188"/>
      <c r="F39" s="188"/>
      <c r="G39" s="166" t="s">
        <v>35</v>
      </c>
      <c r="H39" s="166" t="s">
        <v>8</v>
      </c>
      <c r="I39" s="166" t="s">
        <v>9</v>
      </c>
      <c r="J39" s="188"/>
      <c r="K39" s="188"/>
      <c r="L39" s="188"/>
      <c r="M39" s="166" t="s">
        <v>35</v>
      </c>
      <c r="N39" s="166" t="s">
        <v>8</v>
      </c>
      <c r="O39" s="166" t="s">
        <v>9</v>
      </c>
      <c r="P39" s="188"/>
      <c r="Q39" s="193"/>
    </row>
    <row r="40" spans="1:17" ht="18">
      <c r="A40" s="172" t="s">
        <v>10</v>
      </c>
      <c r="B40" s="189">
        <v>21</v>
      </c>
      <c r="C40" s="189">
        <v>21</v>
      </c>
      <c r="D40" s="188"/>
      <c r="E40" s="201" t="s">
        <v>34</v>
      </c>
      <c r="F40" s="188"/>
      <c r="G40" s="172" t="s">
        <v>10</v>
      </c>
      <c r="H40" s="189">
        <v>21</v>
      </c>
      <c r="I40" s="189">
        <v>21</v>
      </c>
      <c r="J40" s="188"/>
      <c r="K40" s="201" t="s">
        <v>34</v>
      </c>
      <c r="L40" s="188"/>
      <c r="M40" s="172" t="s">
        <v>10</v>
      </c>
      <c r="N40" s="189">
        <v>21</v>
      </c>
      <c r="O40" s="189">
        <v>21</v>
      </c>
      <c r="P40" s="188"/>
      <c r="Q40" s="201" t="s">
        <v>34</v>
      </c>
    </row>
    <row r="41" spans="1:17" ht="18">
      <c r="A41" s="165" t="s">
        <v>11</v>
      </c>
      <c r="B41" s="164" t="s">
        <v>12</v>
      </c>
      <c r="C41" s="164" t="s">
        <v>13</v>
      </c>
      <c r="D41" s="164" t="s">
        <v>14</v>
      </c>
      <c r="E41" s="164" t="s">
        <v>15</v>
      </c>
      <c r="F41" s="193"/>
      <c r="G41" s="165" t="s">
        <v>11</v>
      </c>
      <c r="H41" s="164" t="s">
        <v>16</v>
      </c>
      <c r="I41" s="164" t="s">
        <v>17</v>
      </c>
      <c r="J41" s="164" t="s">
        <v>18</v>
      </c>
      <c r="K41" s="164" t="s">
        <v>15</v>
      </c>
      <c r="L41" s="188"/>
      <c r="M41" s="165" t="s">
        <v>11</v>
      </c>
      <c r="N41" s="164" t="s">
        <v>19</v>
      </c>
      <c r="O41" s="164" t="s">
        <v>20</v>
      </c>
      <c r="P41" s="164" t="s">
        <v>21</v>
      </c>
      <c r="Q41" s="164" t="s">
        <v>15</v>
      </c>
    </row>
    <row r="42" spans="1:17" ht="18">
      <c r="A42" s="168" t="s">
        <v>22</v>
      </c>
      <c r="B42" s="190">
        <v>18.3251933251933</v>
      </c>
      <c r="C42" s="190">
        <v>37.813165364583298</v>
      </c>
      <c r="D42" s="190">
        <v>19.487972039390002</v>
      </c>
      <c r="E42" s="191">
        <v>0.51537531575293305</v>
      </c>
      <c r="F42" s="193"/>
      <c r="G42" s="168" t="s">
        <v>22</v>
      </c>
      <c r="H42" s="190">
        <v>384.82905982905999</v>
      </c>
      <c r="I42" s="190">
        <v>794.07647265624996</v>
      </c>
      <c r="J42" s="190">
        <v>409.24741282718998</v>
      </c>
      <c r="K42" s="191">
        <v>0.51537531575293305</v>
      </c>
      <c r="L42" s="188"/>
      <c r="M42" s="168" t="s">
        <v>22</v>
      </c>
      <c r="N42" s="190">
        <v>120066.66666666701</v>
      </c>
      <c r="O42" s="190">
        <v>247751.85946874999</v>
      </c>
      <c r="P42" s="190">
        <v>127685.19280208299</v>
      </c>
      <c r="Q42" s="191">
        <v>0.51537531575293305</v>
      </c>
    </row>
    <row r="43" spans="1:17" ht="18">
      <c r="A43" s="168" t="s">
        <v>23</v>
      </c>
      <c r="B43" s="190">
        <v>73.6111111111111</v>
      </c>
      <c r="C43" s="190">
        <v>39.091880341880298</v>
      </c>
      <c r="D43" s="190">
        <v>-34.519230769230802</v>
      </c>
      <c r="E43" s="191">
        <v>-0.88302814976769695</v>
      </c>
      <c r="F43" s="193"/>
      <c r="G43" s="168" t="s">
        <v>23</v>
      </c>
      <c r="H43" s="190">
        <v>1545.8333333333301</v>
      </c>
      <c r="I43" s="190">
        <v>820.92948717948696</v>
      </c>
      <c r="J43" s="190">
        <v>-724.90384615384596</v>
      </c>
      <c r="K43" s="191">
        <v>-0.88302814976769595</v>
      </c>
      <c r="L43" s="188"/>
      <c r="M43" s="168" t="s">
        <v>23</v>
      </c>
      <c r="N43" s="190">
        <v>482300</v>
      </c>
      <c r="O43" s="190">
        <v>256130</v>
      </c>
      <c r="P43" s="190">
        <v>-226170</v>
      </c>
      <c r="Q43" s="191">
        <v>-0.88302814976769595</v>
      </c>
    </row>
    <row r="44" spans="1:17" ht="18">
      <c r="A44" s="168" t="s">
        <v>24</v>
      </c>
      <c r="B44" s="190">
        <v>244.850954383394</v>
      </c>
      <c r="C44" s="190">
        <v>296.94835749287802</v>
      </c>
      <c r="D44" s="190">
        <v>52.097403109483103</v>
      </c>
      <c r="E44" s="191">
        <v>0.17544263773451799</v>
      </c>
      <c r="F44" s="193"/>
      <c r="G44" s="168" t="s">
        <v>24</v>
      </c>
      <c r="H44" s="190">
        <v>5141.8700420512796</v>
      </c>
      <c r="I44" s="190">
        <v>6235.9155073504298</v>
      </c>
      <c r="J44" s="190">
        <v>1094.04546529914</v>
      </c>
      <c r="K44" s="191">
        <v>0.17544263773451799</v>
      </c>
      <c r="L44" s="188"/>
      <c r="M44" s="168" t="s">
        <v>24</v>
      </c>
      <c r="N44" s="190">
        <v>1604263.45312</v>
      </c>
      <c r="O44" s="190">
        <v>1945605.6382933301</v>
      </c>
      <c r="P44" s="190">
        <v>341342.18517333298</v>
      </c>
      <c r="Q44" s="191">
        <v>0.17544263773451799</v>
      </c>
    </row>
    <row r="45" spans="1:17" ht="18">
      <c r="A45" s="171" t="s">
        <v>25</v>
      </c>
      <c r="B45" s="208">
        <v>0.67492603550295904</v>
      </c>
      <c r="C45" s="208">
        <v>2.0019723865877701</v>
      </c>
      <c r="D45" s="208">
        <v>1.3270463510848101</v>
      </c>
      <c r="E45" s="191">
        <v>0.66286945812807896</v>
      </c>
      <c r="F45" s="193"/>
      <c r="G45" s="171" t="s">
        <v>25</v>
      </c>
      <c r="H45" s="190">
        <v>14.173446745562099</v>
      </c>
      <c r="I45" s="190">
        <v>42.041420118343197</v>
      </c>
      <c r="J45" s="190">
        <v>27.867973372781101</v>
      </c>
      <c r="K45" s="191">
        <v>0.66286945812807896</v>
      </c>
      <c r="L45" s="188"/>
      <c r="M45" s="171" t="s">
        <v>25</v>
      </c>
      <c r="N45" s="208">
        <v>4422.1153846153802</v>
      </c>
      <c r="O45" s="208">
        <v>13116.9230769231</v>
      </c>
      <c r="P45" s="208">
        <v>8694.8076923076896</v>
      </c>
      <c r="Q45" s="191">
        <v>0.66286945812807896</v>
      </c>
    </row>
    <row r="46" spans="1:17" ht="18">
      <c r="A46" s="171" t="s">
        <v>26</v>
      </c>
      <c r="B46" s="208">
        <v>5.30849358974359E-3</v>
      </c>
      <c r="C46" s="208">
        <v>2.13609467455621E-2</v>
      </c>
      <c r="D46" s="208">
        <v>1.6052453155818502E-2</v>
      </c>
      <c r="E46" s="191">
        <v>0.751486034164358</v>
      </c>
      <c r="F46" s="193"/>
      <c r="G46" s="171" t="s">
        <v>26</v>
      </c>
      <c r="H46" s="190">
        <v>0.111478365384615</v>
      </c>
      <c r="I46" s="190">
        <v>0.44857988165680501</v>
      </c>
      <c r="J46" s="190">
        <v>0.33710151627218898</v>
      </c>
      <c r="K46" s="191">
        <v>0.751486034164358</v>
      </c>
      <c r="L46" s="188"/>
      <c r="M46" s="171" t="s">
        <v>26</v>
      </c>
      <c r="N46" s="208">
        <v>34.78125</v>
      </c>
      <c r="O46" s="208">
        <v>139.956923076923</v>
      </c>
      <c r="P46" s="208">
        <v>105.175673076923</v>
      </c>
      <c r="Q46" s="191">
        <v>0.751486034164358</v>
      </c>
    </row>
    <row r="47" spans="1:17" ht="18">
      <c r="A47" s="171" t="s">
        <v>27</v>
      </c>
      <c r="B47" s="208">
        <v>7.1978021978022E-2</v>
      </c>
      <c r="C47" s="208">
        <v>0.35989010989011</v>
      </c>
      <c r="D47" s="208">
        <v>0.287912087912088</v>
      </c>
      <c r="E47" s="191">
        <v>0.8</v>
      </c>
      <c r="F47" s="193"/>
      <c r="G47" s="171" t="s">
        <v>27</v>
      </c>
      <c r="H47" s="190">
        <v>1.5115384615384599</v>
      </c>
      <c r="I47" s="190">
        <v>7.5576923076923102</v>
      </c>
      <c r="J47" s="190">
        <v>6.0461538461538504</v>
      </c>
      <c r="K47" s="191">
        <v>0.8</v>
      </c>
      <c r="L47" s="188"/>
      <c r="M47" s="171" t="s">
        <v>27</v>
      </c>
      <c r="N47" s="208">
        <v>471.6</v>
      </c>
      <c r="O47" s="208">
        <v>2358</v>
      </c>
      <c r="P47" s="208">
        <v>1886.4</v>
      </c>
      <c r="Q47" s="191">
        <v>0.8</v>
      </c>
    </row>
    <row r="48" spans="1:17" ht="18">
      <c r="A48" s="164" t="s">
        <v>28</v>
      </c>
      <c r="B48" s="209">
        <v>337.53947137076898</v>
      </c>
      <c r="C48" s="209">
        <v>376.236626642565</v>
      </c>
      <c r="D48" s="209">
        <v>38.697155271795097</v>
      </c>
      <c r="E48" s="212">
        <v>0.10285323791338</v>
      </c>
      <c r="F48" s="193"/>
      <c r="G48" s="164" t="s">
        <v>28</v>
      </c>
      <c r="H48" s="209">
        <v>7088.3288987861597</v>
      </c>
      <c r="I48" s="209">
        <v>7900.9691594938604</v>
      </c>
      <c r="J48" s="209">
        <v>812.64026070769603</v>
      </c>
      <c r="K48" s="212">
        <v>0.10285323791338</v>
      </c>
      <c r="L48" s="188"/>
      <c r="M48" s="164" t="s">
        <v>28</v>
      </c>
      <c r="N48" s="209">
        <v>2211558.61642128</v>
      </c>
      <c r="O48" s="209">
        <v>2465102.3777620802</v>
      </c>
      <c r="P48" s="209">
        <v>253543.76134080099</v>
      </c>
      <c r="Q48" s="212">
        <v>0.10285323791338</v>
      </c>
    </row>
    <row r="49" spans="1:17" ht="18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</row>
    <row r="50" spans="1:17" ht="18">
      <c r="A50" s="193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1:17" s="163" customFormat="1" ht="18">
      <c r="A51" s="178" t="s">
        <v>36</v>
      </c>
      <c r="B51" s="166" t="s">
        <v>8</v>
      </c>
      <c r="C51" s="166" t="s">
        <v>9</v>
      </c>
      <c r="D51" s="177"/>
      <c r="E51" s="177"/>
      <c r="F51" s="177"/>
      <c r="G51" s="178" t="s">
        <v>36</v>
      </c>
      <c r="H51" s="166" t="s">
        <v>8</v>
      </c>
      <c r="I51" s="166" t="s">
        <v>9</v>
      </c>
      <c r="J51" s="177"/>
      <c r="K51" s="177"/>
      <c r="L51" s="177"/>
      <c r="M51" s="178" t="s">
        <v>36</v>
      </c>
      <c r="N51" s="166" t="s">
        <v>8</v>
      </c>
      <c r="O51" s="166" t="s">
        <v>9</v>
      </c>
      <c r="P51" s="177"/>
    </row>
    <row r="52" spans="1:17" s="163" customFormat="1" ht="18">
      <c r="A52" s="200" t="s">
        <v>10</v>
      </c>
      <c r="B52" s="195">
        <v>24</v>
      </c>
      <c r="C52" s="195">
        <v>24</v>
      </c>
      <c r="D52" s="177"/>
      <c r="E52" s="201" t="s">
        <v>34</v>
      </c>
      <c r="F52" s="177"/>
      <c r="G52" s="200" t="s">
        <v>10</v>
      </c>
      <c r="H52" s="195">
        <v>24</v>
      </c>
      <c r="I52" s="195">
        <v>24</v>
      </c>
      <c r="J52" s="177"/>
      <c r="K52" s="201" t="s">
        <v>34</v>
      </c>
      <c r="L52" s="177"/>
      <c r="M52" s="200" t="s">
        <v>10</v>
      </c>
      <c r="N52" s="195">
        <v>24</v>
      </c>
      <c r="O52" s="195">
        <v>24</v>
      </c>
      <c r="P52" s="177"/>
      <c r="Q52" s="201" t="s">
        <v>34</v>
      </c>
    </row>
    <row r="53" spans="1:17" s="163" customFormat="1" ht="18">
      <c r="A53" s="165" t="s">
        <v>11</v>
      </c>
      <c r="B53" s="164" t="s">
        <v>12</v>
      </c>
      <c r="C53" s="164" t="s">
        <v>13</v>
      </c>
      <c r="D53" s="164" t="s">
        <v>14</v>
      </c>
      <c r="E53" s="164" t="s">
        <v>15</v>
      </c>
      <c r="G53" s="165" t="s">
        <v>11</v>
      </c>
      <c r="H53" s="164" t="s">
        <v>16</v>
      </c>
      <c r="I53" s="164" t="s">
        <v>17</v>
      </c>
      <c r="J53" s="164" t="s">
        <v>18</v>
      </c>
      <c r="K53" s="164" t="s">
        <v>15</v>
      </c>
      <c r="L53" s="177"/>
      <c r="M53" s="165" t="s">
        <v>11</v>
      </c>
      <c r="N53" s="164" t="s">
        <v>19</v>
      </c>
      <c r="O53" s="164" t="s">
        <v>20</v>
      </c>
      <c r="P53" s="164" t="s">
        <v>21</v>
      </c>
      <c r="Q53" s="164" t="s">
        <v>15</v>
      </c>
    </row>
    <row r="54" spans="1:17" s="163" customFormat="1" ht="18">
      <c r="A54" s="168" t="s">
        <v>22</v>
      </c>
      <c r="B54" s="196">
        <v>18.2814725783476</v>
      </c>
      <c r="C54" s="196">
        <v>37.813165364583298</v>
      </c>
      <c r="D54" s="196">
        <v>19.531692786235801</v>
      </c>
      <c r="E54" s="197">
        <v>0.51653154656366296</v>
      </c>
      <c r="G54" s="168" t="s">
        <v>22</v>
      </c>
      <c r="H54" s="196">
        <v>438.75534188034197</v>
      </c>
      <c r="I54" s="196">
        <v>907.51596874999996</v>
      </c>
      <c r="J54" s="196">
        <v>468.76062686965798</v>
      </c>
      <c r="K54" s="197">
        <v>0.51653154656366296</v>
      </c>
      <c r="L54" s="177"/>
      <c r="M54" s="168" t="s">
        <v>22</v>
      </c>
      <c r="N54" s="196">
        <v>136891.66666666701</v>
      </c>
      <c r="O54" s="196">
        <v>283144.98225</v>
      </c>
      <c r="P54" s="196">
        <v>146253.31558333299</v>
      </c>
      <c r="Q54" s="197">
        <v>0.51653154656366296</v>
      </c>
    </row>
    <row r="55" spans="1:17" s="163" customFormat="1" ht="18">
      <c r="A55" s="168" t="s">
        <v>23</v>
      </c>
      <c r="B55" s="196">
        <v>68.549679487179503</v>
      </c>
      <c r="C55" s="196">
        <v>39.091880341880298</v>
      </c>
      <c r="D55" s="196">
        <v>-29.457799145299099</v>
      </c>
      <c r="E55" s="197">
        <v>-0.75355288330144898</v>
      </c>
      <c r="G55" s="168" t="s">
        <v>23</v>
      </c>
      <c r="H55" s="196">
        <v>1645.1923076923099</v>
      </c>
      <c r="I55" s="196">
        <v>938.20512820512795</v>
      </c>
      <c r="J55" s="196">
        <v>-706.98717948717899</v>
      </c>
      <c r="K55" s="197">
        <v>-0.75355288330144798</v>
      </c>
      <c r="L55" s="177"/>
      <c r="M55" s="168" t="s">
        <v>23</v>
      </c>
      <c r="N55" s="196">
        <v>513300</v>
      </c>
      <c r="O55" s="196">
        <v>292720</v>
      </c>
      <c r="P55" s="196">
        <v>-220580</v>
      </c>
      <c r="Q55" s="197">
        <v>-0.75355288330144798</v>
      </c>
    </row>
    <row r="56" spans="1:17" s="163" customFormat="1" ht="18">
      <c r="A56" s="168" t="s">
        <v>24</v>
      </c>
      <c r="B56" s="196">
        <v>243.004798760684</v>
      </c>
      <c r="C56" s="196">
        <v>296.94835749287802</v>
      </c>
      <c r="D56" s="196">
        <v>53.9435587321938</v>
      </c>
      <c r="E56" s="197">
        <v>0.18165973096344801</v>
      </c>
      <c r="G56" s="168" t="s">
        <v>24</v>
      </c>
      <c r="H56" s="196">
        <v>5832.1151702564102</v>
      </c>
      <c r="I56" s="196">
        <v>7126.7605798290597</v>
      </c>
      <c r="J56" s="196">
        <v>1294.6454095726499</v>
      </c>
      <c r="K56" s="197">
        <v>0.18165973096344701</v>
      </c>
      <c r="L56" s="177"/>
      <c r="M56" s="168" t="s">
        <v>24</v>
      </c>
      <c r="N56" s="196">
        <v>1819619.9331199999</v>
      </c>
      <c r="O56" s="196">
        <v>2223549.3009066698</v>
      </c>
      <c r="P56" s="196">
        <v>403929.36778666702</v>
      </c>
      <c r="Q56" s="197">
        <v>0.18165973096344701</v>
      </c>
    </row>
    <row r="57" spans="1:17" s="163" customFormat="1" ht="18">
      <c r="A57" s="171" t="s">
        <v>25</v>
      </c>
      <c r="B57" s="204">
        <v>0.67492603550295904</v>
      </c>
      <c r="C57" s="204">
        <v>2.0019723865877701</v>
      </c>
      <c r="D57" s="204">
        <v>1.3270463510848101</v>
      </c>
      <c r="E57" s="197">
        <v>0.66286945812807896</v>
      </c>
      <c r="G57" s="171" t="s">
        <v>25</v>
      </c>
      <c r="H57" s="196">
        <v>16.198224852071</v>
      </c>
      <c r="I57" s="196">
        <v>48.047337278106497</v>
      </c>
      <c r="J57" s="196">
        <v>31.8491124260355</v>
      </c>
      <c r="K57" s="197">
        <v>0.66286945812807896</v>
      </c>
      <c r="L57" s="177"/>
      <c r="M57" s="171" t="s">
        <v>25</v>
      </c>
      <c r="N57" s="204">
        <v>5053.8461538461497</v>
      </c>
      <c r="O57" s="204">
        <v>14990.7692307692</v>
      </c>
      <c r="P57" s="204">
        <v>9936.9230769230799</v>
      </c>
      <c r="Q57" s="197">
        <v>0.66286945812807896</v>
      </c>
    </row>
    <row r="58" spans="1:17" s="163" customFormat="1" ht="18">
      <c r="A58" s="171" t="s">
        <v>26</v>
      </c>
      <c r="B58" s="204">
        <v>5.30849358974359E-3</v>
      </c>
      <c r="C58" s="204">
        <v>2.13609467455621E-2</v>
      </c>
      <c r="D58" s="204">
        <v>1.6052453155818502E-2</v>
      </c>
      <c r="E58" s="197">
        <v>0.751486034164358</v>
      </c>
      <c r="G58" s="171" t="s">
        <v>26</v>
      </c>
      <c r="H58" s="196">
        <v>0.12740384615384601</v>
      </c>
      <c r="I58" s="196">
        <v>0.51266272189349105</v>
      </c>
      <c r="J58" s="196">
        <v>0.38525887573964501</v>
      </c>
      <c r="K58" s="197">
        <v>0.751486034164358</v>
      </c>
      <c r="L58" s="177"/>
      <c r="M58" s="171" t="s">
        <v>26</v>
      </c>
      <c r="N58" s="204">
        <v>39.75</v>
      </c>
      <c r="O58" s="204">
        <v>159.950769230769</v>
      </c>
      <c r="P58" s="204">
        <v>120.200769230769</v>
      </c>
      <c r="Q58" s="197">
        <v>0.751486034164358</v>
      </c>
    </row>
    <row r="59" spans="1:17" s="163" customFormat="1" ht="18">
      <c r="A59" s="171" t="s">
        <v>27</v>
      </c>
      <c r="B59" s="204">
        <v>6.2980769230769201E-2</v>
      </c>
      <c r="C59" s="204">
        <v>0.31490384615384598</v>
      </c>
      <c r="D59" s="204">
        <v>0.25192307692307703</v>
      </c>
      <c r="E59" s="197">
        <v>0.8</v>
      </c>
      <c r="G59" s="171" t="s">
        <v>27</v>
      </c>
      <c r="H59" s="196">
        <v>1.5115384615384599</v>
      </c>
      <c r="I59" s="196">
        <v>7.5576923076923102</v>
      </c>
      <c r="J59" s="196">
        <v>6.0461538461538504</v>
      </c>
      <c r="K59" s="197">
        <v>0.8</v>
      </c>
      <c r="L59" s="177"/>
      <c r="M59" s="171" t="s">
        <v>27</v>
      </c>
      <c r="N59" s="204">
        <v>471.6</v>
      </c>
      <c r="O59" s="204">
        <v>2358</v>
      </c>
      <c r="P59" s="204">
        <v>1886.4</v>
      </c>
      <c r="Q59" s="197">
        <v>0.8</v>
      </c>
    </row>
    <row r="60" spans="1:17" s="172" customFormat="1" ht="18">
      <c r="A60" s="164" t="s">
        <v>28</v>
      </c>
      <c r="B60" s="205">
        <v>330.57916612453403</v>
      </c>
      <c r="C60" s="205">
        <v>376.19164037882803</v>
      </c>
      <c r="D60" s="205">
        <v>45.612474254294099</v>
      </c>
      <c r="E60" s="211">
        <v>0.121247974060141</v>
      </c>
      <c r="F60" s="163"/>
      <c r="G60" s="164" t="s">
        <v>28</v>
      </c>
      <c r="H60" s="205">
        <v>7933.8999869888203</v>
      </c>
      <c r="I60" s="205">
        <v>9028.5993690918804</v>
      </c>
      <c r="J60" s="205">
        <v>1094.6993821030601</v>
      </c>
      <c r="K60" s="211">
        <v>0.121247974060141</v>
      </c>
      <c r="L60" s="177"/>
      <c r="M60" s="164" t="s">
        <v>28</v>
      </c>
      <c r="N60" s="205">
        <v>2475376.79594051</v>
      </c>
      <c r="O60" s="205">
        <v>2816923.0031566699</v>
      </c>
      <c r="P60" s="205">
        <v>341546.20721615403</v>
      </c>
      <c r="Q60" s="211">
        <v>0.121247974060141</v>
      </c>
    </row>
    <row r="61" spans="1:17" ht="18">
      <c r="A61" s="206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</row>
    <row r="62" spans="1:17" ht="18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1:17" s="163" customFormat="1" ht="18">
      <c r="A63" s="178" t="s">
        <v>37</v>
      </c>
      <c r="B63" s="166" t="s">
        <v>8</v>
      </c>
      <c r="C63" s="166" t="s">
        <v>9</v>
      </c>
      <c r="D63" s="177"/>
      <c r="E63" s="177"/>
      <c r="F63" s="177"/>
      <c r="G63" s="178" t="s">
        <v>37</v>
      </c>
      <c r="H63" s="166" t="s">
        <v>8</v>
      </c>
      <c r="I63" s="166" t="s">
        <v>9</v>
      </c>
      <c r="J63" s="177"/>
      <c r="K63" s="177"/>
      <c r="L63" s="177"/>
      <c r="M63" s="178" t="s">
        <v>37</v>
      </c>
      <c r="N63" s="166" t="s">
        <v>8</v>
      </c>
      <c r="O63" s="166" t="s">
        <v>9</v>
      </c>
      <c r="P63" s="177"/>
    </row>
    <row r="64" spans="1:17" s="163" customFormat="1" ht="18">
      <c r="A64" s="200" t="s">
        <v>10</v>
      </c>
      <c r="B64" s="195">
        <v>27</v>
      </c>
      <c r="C64" s="195">
        <v>27</v>
      </c>
      <c r="D64" s="177"/>
      <c r="E64" s="201" t="s">
        <v>34</v>
      </c>
      <c r="F64" s="177"/>
      <c r="G64" s="200" t="s">
        <v>10</v>
      </c>
      <c r="H64" s="195">
        <v>27</v>
      </c>
      <c r="I64" s="195">
        <v>27</v>
      </c>
      <c r="J64" s="177"/>
      <c r="K64" s="201" t="s">
        <v>34</v>
      </c>
      <c r="L64" s="177"/>
      <c r="M64" s="200" t="s">
        <v>10</v>
      </c>
      <c r="N64" s="195">
        <v>27</v>
      </c>
      <c r="O64" s="195">
        <v>27</v>
      </c>
      <c r="P64" s="177"/>
      <c r="Q64" s="201" t="s">
        <v>34</v>
      </c>
    </row>
    <row r="65" spans="1:17" s="163" customFormat="1" ht="18">
      <c r="A65" s="165" t="s">
        <v>11</v>
      </c>
      <c r="B65" s="164" t="s">
        <v>12</v>
      </c>
      <c r="C65" s="164" t="s">
        <v>13</v>
      </c>
      <c r="D65" s="164" t="s">
        <v>14</v>
      </c>
      <c r="E65" s="164" t="s">
        <v>15</v>
      </c>
      <c r="G65" s="165" t="s">
        <v>11</v>
      </c>
      <c r="H65" s="164" t="s">
        <v>16</v>
      </c>
      <c r="I65" s="164" t="s">
        <v>17</v>
      </c>
      <c r="J65" s="164" t="s">
        <v>18</v>
      </c>
      <c r="K65" s="164" t="s">
        <v>15</v>
      </c>
      <c r="L65" s="177"/>
      <c r="M65" s="165" t="s">
        <v>11</v>
      </c>
      <c r="N65" s="164" t="s">
        <v>19</v>
      </c>
      <c r="O65" s="164" t="s">
        <v>20</v>
      </c>
      <c r="P65" s="164" t="s">
        <v>21</v>
      </c>
      <c r="Q65" s="164" t="s">
        <v>15</v>
      </c>
    </row>
    <row r="66" spans="1:17" s="163" customFormat="1" ht="18">
      <c r="A66" s="168" t="s">
        <v>22</v>
      </c>
      <c r="B66" s="196">
        <v>18.2474675530231</v>
      </c>
      <c r="C66" s="196">
        <v>37.813165364583298</v>
      </c>
      <c r="D66" s="196">
        <v>19.565697811560199</v>
      </c>
      <c r="E66" s="197">
        <v>0.51743083719423</v>
      </c>
      <c r="G66" s="168" t="s">
        <v>22</v>
      </c>
      <c r="H66" s="196">
        <v>492.68162393162402</v>
      </c>
      <c r="I66" s="196">
        <v>1020.95546484375</v>
      </c>
      <c r="J66" s="196">
        <v>528.27384091212605</v>
      </c>
      <c r="K66" s="197">
        <v>0.51743083719423</v>
      </c>
      <c r="L66" s="177"/>
      <c r="M66" s="168" t="s">
        <v>22</v>
      </c>
      <c r="N66" s="196">
        <v>153716.66666666701</v>
      </c>
      <c r="O66" s="196">
        <v>318538.10503124999</v>
      </c>
      <c r="P66" s="196">
        <v>164821.43836458301</v>
      </c>
      <c r="Q66" s="197">
        <v>0.51743083719423</v>
      </c>
    </row>
    <row r="67" spans="1:17" s="163" customFormat="1" ht="18">
      <c r="A67" s="168" t="s">
        <v>23</v>
      </c>
      <c r="B67" s="196">
        <v>64.613010446343793</v>
      </c>
      <c r="C67" s="196">
        <v>39.091880341880298</v>
      </c>
      <c r="D67" s="196">
        <v>-25.521130104463399</v>
      </c>
      <c r="E67" s="197">
        <v>-0.65284989827214501</v>
      </c>
      <c r="G67" s="168" t="s">
        <v>23</v>
      </c>
      <c r="H67" s="196">
        <v>1744.5512820512799</v>
      </c>
      <c r="I67" s="196">
        <v>1055.48076923077</v>
      </c>
      <c r="J67" s="196">
        <v>-689.07051282051304</v>
      </c>
      <c r="K67" s="197">
        <v>-0.65284989827214501</v>
      </c>
      <c r="L67" s="177"/>
      <c r="M67" s="168" t="s">
        <v>23</v>
      </c>
      <c r="N67" s="196">
        <v>544300</v>
      </c>
      <c r="O67" s="196">
        <v>329310</v>
      </c>
      <c r="P67" s="196">
        <v>-214990</v>
      </c>
      <c r="Q67" s="197">
        <v>-0.65284989827214501</v>
      </c>
    </row>
    <row r="68" spans="1:17" s="163" customFormat="1" ht="18">
      <c r="A68" s="168" t="s">
        <v>24</v>
      </c>
      <c r="B68" s="196">
        <v>241.56889994302</v>
      </c>
      <c r="C68" s="196">
        <v>296.94835749287802</v>
      </c>
      <c r="D68" s="196">
        <v>55.379457549857598</v>
      </c>
      <c r="E68" s="197">
        <v>0.18649524791928099</v>
      </c>
      <c r="G68" s="168" t="s">
        <v>24</v>
      </c>
      <c r="H68" s="196">
        <v>6522.36029846154</v>
      </c>
      <c r="I68" s="196">
        <v>8017.6056523076904</v>
      </c>
      <c r="J68" s="196">
        <v>1495.24535384615</v>
      </c>
      <c r="K68" s="197">
        <v>0.18649524791928099</v>
      </c>
      <c r="L68" s="177"/>
      <c r="M68" s="168" t="s">
        <v>24</v>
      </c>
      <c r="N68" s="196">
        <v>2034976.4131199999</v>
      </c>
      <c r="O68" s="196">
        <v>2501492.9635200002</v>
      </c>
      <c r="P68" s="196">
        <v>466516.55040000001</v>
      </c>
      <c r="Q68" s="197">
        <v>0.18649524791928099</v>
      </c>
    </row>
    <row r="69" spans="1:17" s="163" customFormat="1" ht="18">
      <c r="A69" s="171" t="s">
        <v>25</v>
      </c>
      <c r="B69" s="204">
        <v>0.67492603550295904</v>
      </c>
      <c r="C69" s="204">
        <v>2.0019723865877701</v>
      </c>
      <c r="D69" s="204">
        <v>1.3270463510848101</v>
      </c>
      <c r="E69" s="197">
        <v>0.66286945812807896</v>
      </c>
      <c r="G69" s="171" t="s">
        <v>25</v>
      </c>
      <c r="H69" s="196">
        <v>18.223002958579901</v>
      </c>
      <c r="I69" s="196">
        <v>54.053254437869803</v>
      </c>
      <c r="J69" s="196">
        <v>35.830251479289899</v>
      </c>
      <c r="K69" s="197">
        <v>0.66286945812807896</v>
      </c>
      <c r="L69" s="177"/>
      <c r="M69" s="171" t="s">
        <v>25</v>
      </c>
      <c r="N69" s="204">
        <v>5685.5769230769201</v>
      </c>
      <c r="O69" s="204">
        <v>16864.615384615401</v>
      </c>
      <c r="P69" s="204">
        <v>11179.038461538499</v>
      </c>
      <c r="Q69" s="197">
        <v>0.66286945812807896</v>
      </c>
    </row>
    <row r="70" spans="1:17" s="163" customFormat="1" ht="18">
      <c r="A70" s="171" t="s">
        <v>26</v>
      </c>
      <c r="B70" s="204">
        <v>5.30849358974359E-3</v>
      </c>
      <c r="C70" s="204">
        <v>2.13609467455621E-2</v>
      </c>
      <c r="D70" s="204">
        <v>1.6052453155818502E-2</v>
      </c>
      <c r="E70" s="197">
        <v>0.751486034164358</v>
      </c>
      <c r="G70" s="171" t="s">
        <v>26</v>
      </c>
      <c r="H70" s="196">
        <v>0.14332932692307701</v>
      </c>
      <c r="I70" s="196">
        <v>0.57674556213017802</v>
      </c>
      <c r="J70" s="196">
        <v>0.43341623520710099</v>
      </c>
      <c r="K70" s="197">
        <v>0.751486034164358</v>
      </c>
      <c r="L70" s="177"/>
      <c r="M70" s="171" t="s">
        <v>26</v>
      </c>
      <c r="N70" s="204">
        <v>44.71875</v>
      </c>
      <c r="O70" s="204">
        <v>179.94461538461499</v>
      </c>
      <c r="P70" s="204">
        <v>135.22586538461499</v>
      </c>
      <c r="Q70" s="197">
        <v>0.751486034164358</v>
      </c>
    </row>
    <row r="71" spans="1:17" s="163" customFormat="1" ht="18">
      <c r="A71" s="171" t="s">
        <v>27</v>
      </c>
      <c r="B71" s="204">
        <v>5.5982905982905999E-2</v>
      </c>
      <c r="C71" s="204">
        <v>0.27991452991452997</v>
      </c>
      <c r="D71" s="204">
        <v>0.223931623931624</v>
      </c>
      <c r="E71" s="197">
        <v>0.8</v>
      </c>
      <c r="G71" s="171" t="s">
        <v>27</v>
      </c>
      <c r="H71" s="196">
        <v>1.5115384615384599</v>
      </c>
      <c r="I71" s="196">
        <v>7.5576923076923102</v>
      </c>
      <c r="J71" s="196">
        <v>6.0461538461538504</v>
      </c>
      <c r="K71" s="197">
        <v>0.8</v>
      </c>
      <c r="L71" s="177"/>
      <c r="M71" s="171" t="s">
        <v>27</v>
      </c>
      <c r="N71" s="204">
        <v>471.6</v>
      </c>
      <c r="O71" s="204">
        <v>2358</v>
      </c>
      <c r="P71" s="204">
        <v>1886.4</v>
      </c>
      <c r="Q71" s="197">
        <v>0.8</v>
      </c>
    </row>
    <row r="72" spans="1:17" s="172" customFormat="1" ht="18">
      <c r="A72" s="164" t="s">
        <v>28</v>
      </c>
      <c r="B72" s="205">
        <v>325.16559537746201</v>
      </c>
      <c r="C72" s="205">
        <v>376.15665106258899</v>
      </c>
      <c r="D72" s="205">
        <v>50.991055685126597</v>
      </c>
      <c r="E72" s="211">
        <v>0.13555803291284099</v>
      </c>
      <c r="F72" s="163"/>
      <c r="G72" s="164" t="s">
        <v>28</v>
      </c>
      <c r="H72" s="205">
        <v>8779.4710751914899</v>
      </c>
      <c r="I72" s="205">
        <v>10156.229578689899</v>
      </c>
      <c r="J72" s="205">
        <v>1376.7585034984199</v>
      </c>
      <c r="K72" s="211">
        <v>0.13555803291284099</v>
      </c>
      <c r="L72" s="177"/>
      <c r="M72" s="164" t="s">
        <v>28</v>
      </c>
      <c r="N72" s="205">
        <v>2739194.97545974</v>
      </c>
      <c r="O72" s="205">
        <v>3168743.6285512499</v>
      </c>
      <c r="P72" s="205">
        <v>429548.65309150598</v>
      </c>
      <c r="Q72" s="211">
        <v>0.13555803291284099</v>
      </c>
    </row>
    <row r="73" spans="1:17" s="163" customFormat="1" ht="18" hidden="1">
      <c r="A73" s="213" t="s">
        <v>29</v>
      </c>
      <c r="B73" s="214">
        <v>324.42937794238702</v>
      </c>
      <c r="C73" s="214">
        <v>352.93673653267501</v>
      </c>
      <c r="D73" s="214">
        <v>28.507358590287701</v>
      </c>
      <c r="E73" s="197">
        <v>8.0771865435006904E-2</v>
      </c>
      <c r="G73" s="213" t="s">
        <v>29</v>
      </c>
      <c r="H73" s="214">
        <v>8759.5932044444507</v>
      </c>
      <c r="I73" s="214">
        <v>9857.7572709975993</v>
      </c>
      <c r="J73" s="214">
        <v>1098.16406655315</v>
      </c>
      <c r="K73" s="197">
        <v>0.111401004951101</v>
      </c>
      <c r="L73" s="177"/>
      <c r="M73" s="213" t="s">
        <v>29</v>
      </c>
      <c r="N73" s="214">
        <v>2732993.0797866699</v>
      </c>
      <c r="O73" s="214">
        <v>2902958.1269815401</v>
      </c>
      <c r="P73" s="214">
        <v>169965.04719487199</v>
      </c>
      <c r="Q73" s="197">
        <v>5.8548914507285603E-2</v>
      </c>
    </row>
    <row r="74" spans="1:17" s="163" customFormat="1" ht="18" hidden="1">
      <c r="A74" s="213" t="s">
        <v>30</v>
      </c>
      <c r="B74" s="214">
        <v>0.736217435075608</v>
      </c>
      <c r="C74" s="214">
        <v>2.3032478632478601</v>
      </c>
      <c r="D74" s="214">
        <v>1.56703042817225</v>
      </c>
      <c r="E74" s="197">
        <v>0.68035683574348305</v>
      </c>
      <c r="G74" s="213" t="s">
        <v>30</v>
      </c>
      <c r="H74" s="214">
        <v>19.877870747041399</v>
      </c>
      <c r="I74" s="214">
        <v>62.187692307692302</v>
      </c>
      <c r="J74" s="214">
        <v>42.309821560650903</v>
      </c>
      <c r="K74" s="197">
        <v>0.68035683574348305</v>
      </c>
      <c r="L74" s="177"/>
      <c r="M74" s="213" t="s">
        <v>30</v>
      </c>
      <c r="N74" s="214">
        <v>6201.8956730769196</v>
      </c>
      <c r="O74" s="214">
        <v>19402.560000000001</v>
      </c>
      <c r="P74" s="214">
        <v>2021.6258653846201</v>
      </c>
      <c r="Q74" s="197">
        <v>0.104193769553328</v>
      </c>
    </row>
    <row r="75" spans="1:17" s="163" customFormat="1" ht="18">
      <c r="A75" s="215"/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</row>
    <row r="76" spans="1:17" ht="18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1:17" ht="18">
      <c r="A77" s="178" t="s">
        <v>38</v>
      </c>
      <c r="B77" s="166" t="s">
        <v>8</v>
      </c>
      <c r="C77" s="166" t="s">
        <v>9</v>
      </c>
      <c r="D77" s="178"/>
      <c r="E77" s="188"/>
      <c r="F77" s="188"/>
      <c r="G77" s="178" t="s">
        <v>38</v>
      </c>
      <c r="H77" s="166" t="s">
        <v>8</v>
      </c>
      <c r="I77" s="166" t="s">
        <v>9</v>
      </c>
      <c r="J77" s="188"/>
      <c r="K77" s="188"/>
      <c r="L77" s="188"/>
      <c r="M77" s="178" t="s">
        <v>38</v>
      </c>
      <c r="N77" s="166" t="s">
        <v>8</v>
      </c>
      <c r="O77" s="166" t="s">
        <v>9</v>
      </c>
      <c r="P77" s="188"/>
      <c r="Q77" s="193"/>
    </row>
    <row r="78" spans="1:17" ht="18">
      <c r="A78" s="200" t="s">
        <v>10</v>
      </c>
      <c r="B78" s="207">
        <v>30</v>
      </c>
      <c r="C78" s="207">
        <v>30</v>
      </c>
      <c r="D78" s="188"/>
      <c r="E78" s="201" t="s">
        <v>34</v>
      </c>
      <c r="F78" s="188"/>
      <c r="G78" s="200" t="s">
        <v>10</v>
      </c>
      <c r="H78" s="207">
        <v>30</v>
      </c>
      <c r="I78" s="207">
        <v>30</v>
      </c>
      <c r="J78" s="188"/>
      <c r="K78" s="201" t="s">
        <v>34</v>
      </c>
      <c r="L78" s="188"/>
      <c r="M78" s="200" t="s">
        <v>10</v>
      </c>
      <c r="N78" s="207">
        <v>30</v>
      </c>
      <c r="O78" s="207">
        <v>30</v>
      </c>
      <c r="P78" s="188"/>
      <c r="Q78" s="201" t="s">
        <v>34</v>
      </c>
    </row>
    <row r="79" spans="1:17" s="163" customFormat="1" ht="18">
      <c r="A79" s="165" t="s">
        <v>11</v>
      </c>
      <c r="B79" s="164" t="s">
        <v>12</v>
      </c>
      <c r="C79" s="164" t="s">
        <v>13</v>
      </c>
      <c r="D79" s="164" t="s">
        <v>14</v>
      </c>
      <c r="E79" s="164" t="s">
        <v>15</v>
      </c>
      <c r="G79" s="165" t="s">
        <v>11</v>
      </c>
      <c r="H79" s="164" t="s">
        <v>16</v>
      </c>
      <c r="I79" s="164" t="s">
        <v>17</v>
      </c>
      <c r="J79" s="164" t="s">
        <v>18</v>
      </c>
      <c r="K79" s="164" t="s">
        <v>15</v>
      </c>
      <c r="L79" s="177"/>
      <c r="M79" s="165" t="s">
        <v>11</v>
      </c>
      <c r="N79" s="164" t="s">
        <v>19</v>
      </c>
      <c r="O79" s="164" t="s">
        <v>20</v>
      </c>
      <c r="P79" s="164" t="s">
        <v>21</v>
      </c>
      <c r="Q79" s="164" t="s">
        <v>15</v>
      </c>
    </row>
    <row r="80" spans="1:17" s="163" customFormat="1" ht="18">
      <c r="A80" s="168" t="s">
        <v>22</v>
      </c>
      <c r="B80" s="196">
        <v>18.2202635327635</v>
      </c>
      <c r="C80" s="196">
        <v>37.813165364583298</v>
      </c>
      <c r="D80" s="196">
        <v>19.592901831819798</v>
      </c>
      <c r="E80" s="197">
        <v>0.51815026969868405</v>
      </c>
      <c r="G80" s="168" t="s">
        <v>22</v>
      </c>
      <c r="H80" s="196">
        <v>546.607905982906</v>
      </c>
      <c r="I80" s="196">
        <v>1134.3949609374999</v>
      </c>
      <c r="J80" s="196">
        <v>587.78705495459405</v>
      </c>
      <c r="K80" s="197">
        <v>0.51815026969868405</v>
      </c>
      <c r="L80" s="177"/>
      <c r="M80" s="168" t="s">
        <v>22</v>
      </c>
      <c r="N80" s="196">
        <v>170541.66666666701</v>
      </c>
      <c r="O80" s="196">
        <v>353931.22781249997</v>
      </c>
      <c r="P80" s="196">
        <v>183389.56114583299</v>
      </c>
      <c r="Q80" s="197">
        <v>0.51815026969868405</v>
      </c>
    </row>
    <row r="81" spans="1:17" s="163" customFormat="1" ht="18">
      <c r="A81" s="168" t="s">
        <v>23</v>
      </c>
      <c r="B81" s="196">
        <v>61.463675213675202</v>
      </c>
      <c r="C81" s="196">
        <v>39.091880341880298</v>
      </c>
      <c r="D81" s="196">
        <v>-22.371794871794901</v>
      </c>
      <c r="E81" s="197">
        <v>-0.57228751024870195</v>
      </c>
      <c r="G81" s="168" t="s">
        <v>23</v>
      </c>
      <c r="H81" s="196">
        <v>1843.91025641026</v>
      </c>
      <c r="I81" s="196">
        <v>1172.7564102564099</v>
      </c>
      <c r="J81" s="196">
        <v>-671.15384615384596</v>
      </c>
      <c r="K81" s="197">
        <v>-0.57228751024870195</v>
      </c>
      <c r="L81" s="177"/>
      <c r="M81" s="168" t="s">
        <v>23</v>
      </c>
      <c r="N81" s="196">
        <v>575300</v>
      </c>
      <c r="O81" s="196">
        <v>365900</v>
      </c>
      <c r="P81" s="196">
        <v>-209400</v>
      </c>
      <c r="Q81" s="197">
        <v>-0.57228751024870195</v>
      </c>
    </row>
    <row r="82" spans="1:17" s="163" customFormat="1" ht="18">
      <c r="A82" s="168" t="s">
        <v>24</v>
      </c>
      <c r="B82" s="196">
        <v>240.42018088888901</v>
      </c>
      <c r="C82" s="196">
        <v>296.94835749287802</v>
      </c>
      <c r="D82" s="196">
        <v>56.528176603988598</v>
      </c>
      <c r="E82" s="197">
        <v>0.19036366148394801</v>
      </c>
      <c r="G82" s="168" t="s">
        <v>24</v>
      </c>
      <c r="H82" s="196">
        <v>7212.6054266666697</v>
      </c>
      <c r="I82" s="196">
        <v>8908.4507247863294</v>
      </c>
      <c r="J82" s="196">
        <v>1695.8452981196599</v>
      </c>
      <c r="K82" s="197">
        <v>0.19036366148394801</v>
      </c>
      <c r="L82" s="177"/>
      <c r="M82" s="168" t="s">
        <v>24</v>
      </c>
      <c r="N82" s="196">
        <v>2250332.8931200001</v>
      </c>
      <c r="O82" s="196">
        <v>2779436.6261333302</v>
      </c>
      <c r="P82" s="196">
        <v>529103.73301333399</v>
      </c>
      <c r="Q82" s="197">
        <v>0.19036366148394801</v>
      </c>
    </row>
    <row r="83" spans="1:17" s="163" customFormat="1" ht="18">
      <c r="A83" s="171" t="s">
        <v>25</v>
      </c>
      <c r="B83" s="204">
        <v>0.67492603550295904</v>
      </c>
      <c r="C83" s="204">
        <v>2.0019723865877701</v>
      </c>
      <c r="D83" s="204">
        <v>1.3270463510848101</v>
      </c>
      <c r="E83" s="197">
        <v>0.66286945812807896</v>
      </c>
      <c r="G83" s="171" t="s">
        <v>25</v>
      </c>
      <c r="H83" s="196">
        <v>20.247781065088802</v>
      </c>
      <c r="I83" s="196">
        <v>60.059171597633103</v>
      </c>
      <c r="J83" s="196">
        <v>39.811390532544401</v>
      </c>
      <c r="K83" s="197">
        <v>0.66286945812807896</v>
      </c>
      <c r="L83" s="177"/>
      <c r="M83" s="171" t="s">
        <v>25</v>
      </c>
      <c r="N83" s="204">
        <v>6317.3076923076896</v>
      </c>
      <c r="O83" s="204">
        <v>18738.461538461499</v>
      </c>
      <c r="P83" s="204">
        <v>12421.1538461538</v>
      </c>
      <c r="Q83" s="197">
        <v>0.66286945812807896</v>
      </c>
    </row>
    <row r="84" spans="1:17" s="163" customFormat="1" ht="18">
      <c r="A84" s="171" t="s">
        <v>26</v>
      </c>
      <c r="B84" s="204">
        <v>5.30849358974359E-3</v>
      </c>
      <c r="C84" s="204">
        <v>2.13609467455621E-2</v>
      </c>
      <c r="D84" s="204">
        <v>1.6052453155818502E-2</v>
      </c>
      <c r="E84" s="197">
        <v>0.751486034164358</v>
      </c>
      <c r="G84" s="171" t="s">
        <v>26</v>
      </c>
      <c r="H84" s="196">
        <v>0.15925480769230799</v>
      </c>
      <c r="I84" s="196">
        <v>0.640828402366864</v>
      </c>
      <c r="J84" s="196">
        <v>0.48157359467455602</v>
      </c>
      <c r="K84" s="197">
        <v>0.751486034164358</v>
      </c>
      <c r="L84" s="177"/>
      <c r="M84" s="171" t="s">
        <v>26</v>
      </c>
      <c r="N84" s="204">
        <v>49.6875</v>
      </c>
      <c r="O84" s="204">
        <v>199.93846153846201</v>
      </c>
      <c r="P84" s="204">
        <v>150.25096153846201</v>
      </c>
      <c r="Q84" s="197">
        <v>0.751486034164358</v>
      </c>
    </row>
    <row r="85" spans="1:17" s="163" customFormat="1" ht="18">
      <c r="A85" s="171" t="s">
        <v>27</v>
      </c>
      <c r="B85" s="204">
        <v>5.0384615384615403E-2</v>
      </c>
      <c r="C85" s="204">
        <v>0.25192307692307703</v>
      </c>
      <c r="D85" s="204">
        <v>0.201538461538462</v>
      </c>
      <c r="E85" s="197">
        <v>0.8</v>
      </c>
      <c r="G85" s="171" t="s">
        <v>27</v>
      </c>
      <c r="H85" s="196">
        <v>1.5115384615384599</v>
      </c>
      <c r="I85" s="196">
        <v>7.5576923076923102</v>
      </c>
      <c r="J85" s="196">
        <v>6.0461538461538504</v>
      </c>
      <c r="K85" s="197">
        <v>0.8</v>
      </c>
      <c r="L85" s="177"/>
      <c r="M85" s="171" t="s">
        <v>27</v>
      </c>
      <c r="N85" s="204">
        <v>471.6</v>
      </c>
      <c r="O85" s="204">
        <v>2358</v>
      </c>
      <c r="P85" s="204">
        <v>1886.4</v>
      </c>
      <c r="Q85" s="197">
        <v>0.8</v>
      </c>
    </row>
    <row r="86" spans="1:17" s="172" customFormat="1" ht="18">
      <c r="A86" s="164" t="s">
        <v>28</v>
      </c>
      <c r="B86" s="205">
        <v>320.83473877980498</v>
      </c>
      <c r="C86" s="205">
        <v>376.128659609598</v>
      </c>
      <c r="D86" s="205">
        <v>55.293920829792697</v>
      </c>
      <c r="E86" s="211">
        <v>0.147007996910379</v>
      </c>
      <c r="F86" s="163"/>
      <c r="G86" s="164" t="s">
        <v>28</v>
      </c>
      <c r="H86" s="205">
        <v>9625.0421633941496</v>
      </c>
      <c r="I86" s="205">
        <v>11283.8597882879</v>
      </c>
      <c r="J86" s="205">
        <v>1658.81762489378</v>
      </c>
      <c r="K86" s="211">
        <v>0.147007996910379</v>
      </c>
      <c r="L86" s="177"/>
      <c r="M86" s="164" t="s">
        <v>28</v>
      </c>
      <c r="N86" s="205">
        <v>3003013.1549789701</v>
      </c>
      <c r="O86" s="205">
        <v>3520564.2539458298</v>
      </c>
      <c r="P86" s="205">
        <v>517551.09896685899</v>
      </c>
      <c r="Q86" s="211">
        <v>0.147007996910379</v>
      </c>
    </row>
    <row r="87" spans="1:17" ht="18">
      <c r="A87" s="206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</row>
    <row r="88" spans="1:17" ht="18">
      <c r="A88" s="193"/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1:17" s="163" customFormat="1" ht="18">
      <c r="A89" s="178" t="s">
        <v>39</v>
      </c>
      <c r="B89" s="166" t="s">
        <v>8</v>
      </c>
      <c r="C89" s="166" t="s">
        <v>9</v>
      </c>
      <c r="D89" s="177"/>
      <c r="E89" s="177"/>
      <c r="F89" s="177"/>
      <c r="G89" s="178" t="s">
        <v>39</v>
      </c>
      <c r="H89" s="166" t="s">
        <v>8</v>
      </c>
      <c r="I89" s="166" t="s">
        <v>9</v>
      </c>
      <c r="J89" s="177"/>
      <c r="K89" s="177"/>
      <c r="L89" s="177"/>
      <c r="M89" s="178" t="s">
        <v>39</v>
      </c>
      <c r="N89" s="166" t="s">
        <v>8</v>
      </c>
      <c r="O89" s="166" t="s">
        <v>9</v>
      </c>
      <c r="P89" s="177"/>
    </row>
    <row r="90" spans="1:17" s="163" customFormat="1" ht="18">
      <c r="A90" s="200" t="s">
        <v>10</v>
      </c>
      <c r="B90" s="195">
        <v>33</v>
      </c>
      <c r="C90" s="195">
        <v>33</v>
      </c>
      <c r="D90" s="177"/>
      <c r="E90" s="201" t="s">
        <v>34</v>
      </c>
      <c r="F90" s="177"/>
      <c r="G90" s="200" t="s">
        <v>10</v>
      </c>
      <c r="H90" s="195">
        <v>33</v>
      </c>
      <c r="I90" s="195">
        <v>33</v>
      </c>
      <c r="J90" s="177"/>
      <c r="K90" s="201" t="s">
        <v>34</v>
      </c>
      <c r="L90" s="177"/>
      <c r="M90" s="200" t="s">
        <v>10</v>
      </c>
      <c r="N90" s="195">
        <v>33</v>
      </c>
      <c r="O90" s="195">
        <v>33</v>
      </c>
      <c r="P90" s="177"/>
      <c r="Q90" s="201" t="s">
        <v>34</v>
      </c>
    </row>
    <row r="91" spans="1:17" s="163" customFormat="1" ht="18">
      <c r="A91" s="165" t="s">
        <v>11</v>
      </c>
      <c r="B91" s="164" t="s">
        <v>12</v>
      </c>
      <c r="C91" s="164" t="s">
        <v>13</v>
      </c>
      <c r="D91" s="164" t="s">
        <v>14</v>
      </c>
      <c r="E91" s="164" t="s">
        <v>15</v>
      </c>
      <c r="G91" s="165" t="s">
        <v>11</v>
      </c>
      <c r="H91" s="164" t="s">
        <v>16</v>
      </c>
      <c r="I91" s="164" t="s">
        <v>17</v>
      </c>
      <c r="J91" s="164" t="s">
        <v>18</v>
      </c>
      <c r="K91" s="164" t="s">
        <v>15</v>
      </c>
      <c r="L91" s="177"/>
      <c r="M91" s="165" t="s">
        <v>11</v>
      </c>
      <c r="N91" s="164" t="s">
        <v>19</v>
      </c>
      <c r="O91" s="164" t="s">
        <v>20</v>
      </c>
      <c r="P91" s="164" t="s">
        <v>21</v>
      </c>
      <c r="Q91" s="164" t="s">
        <v>15</v>
      </c>
    </row>
    <row r="92" spans="1:17" s="163" customFormat="1" ht="18">
      <c r="A92" s="168" t="s">
        <v>22</v>
      </c>
      <c r="B92" s="196">
        <v>18.198005698005701</v>
      </c>
      <c r="C92" s="196">
        <v>37.813165364583298</v>
      </c>
      <c r="D92" s="196">
        <v>19.6151596665776</v>
      </c>
      <c r="E92" s="197">
        <v>0.51873889629323799</v>
      </c>
      <c r="G92" s="168" t="s">
        <v>22</v>
      </c>
      <c r="H92" s="196">
        <v>600.53418803418799</v>
      </c>
      <c r="I92" s="196">
        <v>1247.8344570312499</v>
      </c>
      <c r="J92" s="196">
        <v>647.30026899706195</v>
      </c>
      <c r="K92" s="197">
        <v>0.518738896293237</v>
      </c>
      <c r="L92" s="177"/>
      <c r="M92" s="168" t="s">
        <v>22</v>
      </c>
      <c r="N92" s="196">
        <v>187366.66666666701</v>
      </c>
      <c r="O92" s="196">
        <v>389324.35059375002</v>
      </c>
      <c r="P92" s="196">
        <v>201957.68392708301</v>
      </c>
      <c r="Q92" s="197">
        <v>0.518738896293237</v>
      </c>
    </row>
    <row r="93" spans="1:17" s="163" customFormat="1" ht="18">
      <c r="A93" s="168" t="s">
        <v>23</v>
      </c>
      <c r="B93" s="196">
        <v>58.886946386946398</v>
      </c>
      <c r="C93" s="196">
        <v>39.091880341880298</v>
      </c>
      <c r="D93" s="196">
        <v>-19.795066045066001</v>
      </c>
      <c r="E93" s="197">
        <v>-0.50637282913861204</v>
      </c>
      <c r="G93" s="168" t="s">
        <v>23</v>
      </c>
      <c r="H93" s="196">
        <v>1943.26923076923</v>
      </c>
      <c r="I93" s="196">
        <v>1290.0320512820499</v>
      </c>
      <c r="J93" s="196">
        <v>-653.23717948717899</v>
      </c>
      <c r="K93" s="197">
        <v>-0.50637282913861204</v>
      </c>
      <c r="L93" s="177"/>
      <c r="M93" s="168" t="s">
        <v>23</v>
      </c>
      <c r="N93" s="196">
        <v>606300</v>
      </c>
      <c r="O93" s="196">
        <v>402490</v>
      </c>
      <c r="P93" s="196">
        <v>-203810</v>
      </c>
      <c r="Q93" s="197">
        <v>-0.50637282913861204</v>
      </c>
    </row>
    <row r="94" spans="1:17" s="163" customFormat="1" ht="18">
      <c r="A94" s="168" t="s">
        <v>24</v>
      </c>
      <c r="B94" s="196">
        <v>241.51994688422701</v>
      </c>
      <c r="C94" s="196">
        <v>296.94835749287802</v>
      </c>
      <c r="D94" s="196">
        <v>55.428410608650701</v>
      </c>
      <c r="E94" s="197">
        <v>0.186660101697919</v>
      </c>
      <c r="G94" s="168" t="s">
        <v>24</v>
      </c>
      <c r="H94" s="196">
        <v>7970.15824717949</v>
      </c>
      <c r="I94" s="196">
        <v>9799.2957972649601</v>
      </c>
      <c r="J94" s="196">
        <v>1829.1375500854699</v>
      </c>
      <c r="K94" s="197">
        <v>0.186660101697919</v>
      </c>
      <c r="L94" s="177"/>
      <c r="M94" s="168" t="s">
        <v>24</v>
      </c>
      <c r="N94" s="196">
        <v>2486689.3731200001</v>
      </c>
      <c r="O94" s="196">
        <v>3057380.2887466699</v>
      </c>
      <c r="P94" s="196">
        <v>570690.91562666697</v>
      </c>
      <c r="Q94" s="197">
        <v>0.186660101697919</v>
      </c>
    </row>
    <row r="95" spans="1:17" s="163" customFormat="1" ht="18">
      <c r="A95" s="171" t="s">
        <v>25</v>
      </c>
      <c r="B95" s="204">
        <v>0.67492603550295804</v>
      </c>
      <c r="C95" s="204">
        <v>2.0019723865877701</v>
      </c>
      <c r="D95" s="204">
        <v>1.3270463510848101</v>
      </c>
      <c r="E95" s="197">
        <v>0.66286945812807896</v>
      </c>
      <c r="G95" s="171" t="s">
        <v>25</v>
      </c>
      <c r="H95" s="196">
        <v>22.272559171597599</v>
      </c>
      <c r="I95" s="196">
        <v>66.065088757396495</v>
      </c>
      <c r="J95" s="196">
        <v>43.792529585798803</v>
      </c>
      <c r="K95" s="197">
        <v>0.66286945812807896</v>
      </c>
      <c r="L95" s="177"/>
      <c r="M95" s="171" t="s">
        <v>25</v>
      </c>
      <c r="N95" s="204">
        <v>6949.0384615384601</v>
      </c>
      <c r="O95" s="204">
        <v>20612.307692307699</v>
      </c>
      <c r="P95" s="204">
        <v>13663.2692307692</v>
      </c>
      <c r="Q95" s="197">
        <v>0.66286945812807896</v>
      </c>
    </row>
    <row r="96" spans="1:17" s="163" customFormat="1" ht="18">
      <c r="A96" s="171" t="s">
        <v>26</v>
      </c>
      <c r="B96" s="204">
        <v>5.30849358974359E-3</v>
      </c>
      <c r="C96" s="204">
        <v>2.13609467455621E-2</v>
      </c>
      <c r="D96" s="204">
        <v>1.6052453155818502E-2</v>
      </c>
      <c r="E96" s="197">
        <v>0.751486034164358</v>
      </c>
      <c r="G96" s="171" t="s">
        <v>26</v>
      </c>
      <c r="H96" s="196">
        <v>0.17518028846153799</v>
      </c>
      <c r="I96" s="196">
        <v>0.70491124260354998</v>
      </c>
      <c r="J96" s="196">
        <v>0.52973095414201199</v>
      </c>
      <c r="K96" s="197">
        <v>0.751486034164358</v>
      </c>
      <c r="L96" s="177"/>
      <c r="M96" s="171" t="s">
        <v>26</v>
      </c>
      <c r="N96" s="204">
        <v>54.65625</v>
      </c>
      <c r="O96" s="204">
        <v>219.932307692308</v>
      </c>
      <c r="P96" s="204">
        <v>165.276057692308</v>
      </c>
      <c r="Q96" s="197">
        <v>0.751486034164358</v>
      </c>
    </row>
    <row r="97" spans="1:17" s="163" customFormat="1" ht="18">
      <c r="A97" s="171" t="s">
        <v>27</v>
      </c>
      <c r="B97" s="204">
        <v>4.5804195804195799E-2</v>
      </c>
      <c r="C97" s="204">
        <v>0.22902097902097901</v>
      </c>
      <c r="D97" s="204">
        <v>0.183216783216783</v>
      </c>
      <c r="E97" s="197">
        <v>0.8</v>
      </c>
      <c r="G97" s="171" t="s">
        <v>27</v>
      </c>
      <c r="H97" s="196">
        <v>1.5115384615384599</v>
      </c>
      <c r="I97" s="196">
        <v>7.5576923076923102</v>
      </c>
      <c r="J97" s="196">
        <v>6.0461538461538504</v>
      </c>
      <c r="K97" s="197">
        <v>0.8</v>
      </c>
      <c r="L97" s="177"/>
      <c r="M97" s="171" t="s">
        <v>27</v>
      </c>
      <c r="N97" s="204">
        <v>471.6</v>
      </c>
      <c r="O97" s="204">
        <v>2358</v>
      </c>
      <c r="P97" s="204">
        <v>1886.4</v>
      </c>
      <c r="Q97" s="197">
        <v>0.8</v>
      </c>
    </row>
    <row r="98" spans="1:17" s="172" customFormat="1" ht="18">
      <c r="A98" s="164" t="s">
        <v>28</v>
      </c>
      <c r="B98" s="205">
        <v>319.330937694076</v>
      </c>
      <c r="C98" s="205">
        <v>376.10575751169603</v>
      </c>
      <c r="D98" s="205">
        <v>56.774819817619701</v>
      </c>
      <c r="E98" s="211">
        <v>0.15095440227567999</v>
      </c>
      <c r="F98" s="163"/>
      <c r="G98" s="164" t="s">
        <v>28</v>
      </c>
      <c r="H98" s="205">
        <v>10537.920943904501</v>
      </c>
      <c r="I98" s="205">
        <v>12411.489997885899</v>
      </c>
      <c r="J98" s="205">
        <v>1873.56905398145</v>
      </c>
      <c r="K98" s="211">
        <v>0.15095440227567899</v>
      </c>
      <c r="L98" s="177"/>
      <c r="M98" s="164" t="s">
        <v>28</v>
      </c>
      <c r="N98" s="205">
        <v>3287831.3344982099</v>
      </c>
      <c r="O98" s="205">
        <v>3872384.87934042</v>
      </c>
      <c r="P98" s="205">
        <v>584553.54484221095</v>
      </c>
      <c r="Q98" s="211">
        <v>0.15095440227567899</v>
      </c>
    </row>
    <row r="99" spans="1:17" s="163" customFormat="1" ht="18" hidden="1">
      <c r="A99" s="213" t="s">
        <v>29</v>
      </c>
      <c r="B99" s="214">
        <v>318.60489896917898</v>
      </c>
      <c r="C99" s="214">
        <v>352.93673653267501</v>
      </c>
      <c r="D99" s="214">
        <v>34.331837563495597</v>
      </c>
      <c r="E99" s="197">
        <v>9.7274763462650099E-2</v>
      </c>
      <c r="G99" s="213" t="s">
        <v>29</v>
      </c>
      <c r="H99" s="214">
        <v>10513.961665982901</v>
      </c>
      <c r="I99" s="214">
        <v>12048.3699978859</v>
      </c>
      <c r="J99" s="214">
        <v>1534.4083319030401</v>
      </c>
      <c r="K99" s="197">
        <v>0.12735401819269099</v>
      </c>
      <c r="L99" s="177"/>
      <c r="M99" s="213" t="s">
        <v>29</v>
      </c>
      <c r="N99" s="214">
        <v>3280356.0397866699</v>
      </c>
      <c r="O99" s="214">
        <v>3548059.9329774398</v>
      </c>
      <c r="P99" s="214">
        <v>267703.89319076901</v>
      </c>
      <c r="Q99" s="197">
        <v>7.5450781059980307E-2</v>
      </c>
    </row>
    <row r="100" spans="1:17" s="163" customFormat="1" ht="18" hidden="1">
      <c r="A100" s="213" t="s">
        <v>30</v>
      </c>
      <c r="B100" s="214">
        <v>0.72603872489689802</v>
      </c>
      <c r="C100" s="214">
        <v>2.2523543123543099</v>
      </c>
      <c r="D100" s="214">
        <v>1.5263155874574099</v>
      </c>
      <c r="E100" s="197">
        <v>0.677653413179921</v>
      </c>
      <c r="G100" s="213" t="s">
        <v>30</v>
      </c>
      <c r="H100" s="214">
        <v>23.9592779215976</v>
      </c>
      <c r="I100" s="214">
        <v>74.327692307692303</v>
      </c>
      <c r="J100" s="214">
        <v>50.368414386094699</v>
      </c>
      <c r="K100" s="197">
        <v>0.677653413179921</v>
      </c>
      <c r="L100" s="177"/>
      <c r="M100" s="213" t="s">
        <v>30</v>
      </c>
      <c r="N100" s="214">
        <v>7475.2947115384604</v>
      </c>
      <c r="O100" s="214">
        <v>23190.240000000002</v>
      </c>
      <c r="P100" s="214">
        <v>2051.6760576923102</v>
      </c>
      <c r="Q100" s="197">
        <v>8.8471531889808303E-2</v>
      </c>
    </row>
    <row r="101" spans="1:17" s="163" customFormat="1" ht="18">
      <c r="A101" s="215"/>
      <c r="B101" s="215"/>
      <c r="C101" s="215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215"/>
    </row>
    <row r="102" spans="1:17" ht="18">
      <c r="A102" s="193"/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1:17" s="163" customFormat="1" ht="18">
      <c r="A103" s="178" t="s">
        <v>40</v>
      </c>
      <c r="B103" s="166" t="s">
        <v>8</v>
      </c>
      <c r="C103" s="166" t="s">
        <v>9</v>
      </c>
      <c r="D103" s="177"/>
      <c r="E103" s="177"/>
      <c r="F103" s="177"/>
      <c r="G103" s="178" t="s">
        <v>40</v>
      </c>
      <c r="H103" s="166" t="s">
        <v>8</v>
      </c>
      <c r="I103" s="166" t="s">
        <v>9</v>
      </c>
      <c r="J103" s="177"/>
      <c r="K103" s="177"/>
      <c r="L103" s="177"/>
      <c r="M103" s="178" t="s">
        <v>40</v>
      </c>
      <c r="N103" s="166" t="s">
        <v>8</v>
      </c>
      <c r="O103" s="166" t="s">
        <v>9</v>
      </c>
      <c r="P103" s="177"/>
    </row>
    <row r="104" spans="1:17" s="163" customFormat="1" ht="18">
      <c r="A104" s="200" t="s">
        <v>10</v>
      </c>
      <c r="B104" s="195">
        <v>36</v>
      </c>
      <c r="C104" s="195">
        <v>36</v>
      </c>
      <c r="D104" s="177"/>
      <c r="E104" s="201" t="s">
        <v>34</v>
      </c>
      <c r="F104" s="177"/>
      <c r="G104" s="200" t="s">
        <v>10</v>
      </c>
      <c r="H104" s="195">
        <v>36</v>
      </c>
      <c r="I104" s="195">
        <v>36</v>
      </c>
      <c r="J104" s="177"/>
      <c r="K104" s="201" t="s">
        <v>34</v>
      </c>
      <c r="L104" s="177"/>
      <c r="M104" s="200" t="s">
        <v>10</v>
      </c>
      <c r="N104" s="195">
        <v>36</v>
      </c>
      <c r="O104" s="195">
        <v>36</v>
      </c>
      <c r="P104" s="177"/>
      <c r="Q104" s="201" t="s">
        <v>34</v>
      </c>
    </row>
    <row r="105" spans="1:17" s="163" customFormat="1" ht="18">
      <c r="A105" s="165" t="s">
        <v>11</v>
      </c>
      <c r="B105" s="164" t="s">
        <v>12</v>
      </c>
      <c r="C105" s="164" t="s">
        <v>13</v>
      </c>
      <c r="D105" s="164" t="s">
        <v>14</v>
      </c>
      <c r="E105" s="164" t="s">
        <v>15</v>
      </c>
      <c r="G105" s="165" t="s">
        <v>11</v>
      </c>
      <c r="H105" s="164" t="s">
        <v>16</v>
      </c>
      <c r="I105" s="164" t="s">
        <v>17</v>
      </c>
      <c r="J105" s="164" t="s">
        <v>18</v>
      </c>
      <c r="K105" s="164" t="s">
        <v>15</v>
      </c>
      <c r="L105" s="177"/>
      <c r="M105" s="165" t="s">
        <v>11</v>
      </c>
      <c r="N105" s="164" t="s">
        <v>19</v>
      </c>
      <c r="O105" s="164" t="s">
        <v>20</v>
      </c>
      <c r="P105" s="164" t="s">
        <v>21</v>
      </c>
      <c r="Q105" s="164" t="s">
        <v>15</v>
      </c>
    </row>
    <row r="106" spans="1:17" s="163" customFormat="1" ht="18">
      <c r="A106" s="168" t="s">
        <v>22</v>
      </c>
      <c r="B106" s="196">
        <v>18.179457502374198</v>
      </c>
      <c r="C106" s="196">
        <v>37.813165364583298</v>
      </c>
      <c r="D106" s="196">
        <v>19.633707862209199</v>
      </c>
      <c r="E106" s="197">
        <v>0.51922941845536497</v>
      </c>
      <c r="G106" s="168" t="s">
        <v>22</v>
      </c>
      <c r="H106" s="196">
        <v>654.46047008546998</v>
      </c>
      <c r="I106" s="196">
        <v>1361.2739531249999</v>
      </c>
      <c r="J106" s="196">
        <v>706.81348303952996</v>
      </c>
      <c r="K106" s="197">
        <v>0.51922941845536497</v>
      </c>
      <c r="L106" s="177"/>
      <c r="M106" s="168" t="s">
        <v>22</v>
      </c>
      <c r="N106" s="196">
        <v>204191.66666666701</v>
      </c>
      <c r="O106" s="196">
        <v>424717.473375</v>
      </c>
      <c r="P106" s="196">
        <v>220525.806708333</v>
      </c>
      <c r="Q106" s="197">
        <v>0.51922941845536497</v>
      </c>
    </row>
    <row r="107" spans="1:17" s="163" customFormat="1" ht="18">
      <c r="A107" s="168" t="s">
        <v>23</v>
      </c>
      <c r="B107" s="196">
        <v>56.739672364672401</v>
      </c>
      <c r="C107" s="196">
        <v>39.091880341880298</v>
      </c>
      <c r="D107" s="196">
        <v>-17.647792022792</v>
      </c>
      <c r="E107" s="197">
        <v>-0.45144392821353702</v>
      </c>
      <c r="G107" s="168" t="s">
        <v>23</v>
      </c>
      <c r="H107" s="196">
        <v>2042.6282051282101</v>
      </c>
      <c r="I107" s="196">
        <v>1407.3076923076901</v>
      </c>
      <c r="J107" s="196">
        <v>-635.32051282051304</v>
      </c>
      <c r="K107" s="197">
        <v>-0.45144392821353702</v>
      </c>
      <c r="L107" s="177"/>
      <c r="M107" s="168" t="s">
        <v>23</v>
      </c>
      <c r="N107" s="196">
        <v>637300</v>
      </c>
      <c r="O107" s="196">
        <v>439080</v>
      </c>
      <c r="P107" s="196">
        <v>-198220</v>
      </c>
      <c r="Q107" s="197">
        <v>-0.45144392821353702</v>
      </c>
    </row>
    <row r="108" spans="1:17" s="163" customFormat="1" ht="18">
      <c r="A108" s="168" t="s">
        <v>24</v>
      </c>
      <c r="B108" s="196">
        <v>240.56676042735</v>
      </c>
      <c r="C108" s="196">
        <v>296.94835749287802</v>
      </c>
      <c r="D108" s="196">
        <v>56.381597065527103</v>
      </c>
      <c r="E108" s="197">
        <v>0.18987004185358899</v>
      </c>
      <c r="G108" s="168" t="s">
        <v>24</v>
      </c>
      <c r="H108" s="196">
        <v>8660.4033753846197</v>
      </c>
      <c r="I108" s="196">
        <v>10690.1408697436</v>
      </c>
      <c r="J108" s="196">
        <v>2029.73749435897</v>
      </c>
      <c r="K108" s="197">
        <v>0.18987004185358899</v>
      </c>
      <c r="L108" s="177"/>
      <c r="M108" s="168" t="s">
        <v>24</v>
      </c>
      <c r="N108" s="196">
        <v>2702045.8531200001</v>
      </c>
      <c r="O108" s="196">
        <v>3335323.9513599998</v>
      </c>
      <c r="P108" s="196">
        <v>633278.09823999996</v>
      </c>
      <c r="Q108" s="197">
        <v>0.18987004185358899</v>
      </c>
    </row>
    <row r="109" spans="1:17" s="163" customFormat="1" ht="18">
      <c r="A109" s="171" t="s">
        <v>25</v>
      </c>
      <c r="B109" s="204">
        <v>0.67492603550295904</v>
      </c>
      <c r="C109" s="204">
        <v>2.0019723865877701</v>
      </c>
      <c r="D109" s="204">
        <v>1.3270463510848101</v>
      </c>
      <c r="E109" s="197">
        <v>0.66286945812807896</v>
      </c>
      <c r="G109" s="171" t="s">
        <v>25</v>
      </c>
      <c r="H109" s="196">
        <v>24.2973372781065</v>
      </c>
      <c r="I109" s="196">
        <v>72.071005917159795</v>
      </c>
      <c r="J109" s="196">
        <v>47.773668639053199</v>
      </c>
      <c r="K109" s="197">
        <v>0.66286945812807896</v>
      </c>
      <c r="L109" s="177"/>
      <c r="M109" s="171" t="s">
        <v>25</v>
      </c>
      <c r="N109" s="204">
        <v>7580.7692307692296</v>
      </c>
      <c r="O109" s="204">
        <v>22486.1538461538</v>
      </c>
      <c r="P109" s="204">
        <v>14905.384615384601</v>
      </c>
      <c r="Q109" s="197">
        <v>0.66286945812807896</v>
      </c>
    </row>
    <row r="110" spans="1:17" s="163" customFormat="1" ht="18">
      <c r="A110" s="171" t="s">
        <v>26</v>
      </c>
      <c r="B110" s="204">
        <v>5.30849358974359E-3</v>
      </c>
      <c r="C110" s="204">
        <v>2.13609467455621E-2</v>
      </c>
      <c r="D110" s="204">
        <v>1.6052453155818502E-2</v>
      </c>
      <c r="E110" s="197">
        <v>0.751486034164358</v>
      </c>
      <c r="G110" s="171" t="s">
        <v>26</v>
      </c>
      <c r="H110" s="196">
        <v>0.191105769230769</v>
      </c>
      <c r="I110" s="196">
        <v>0.76899408284023696</v>
      </c>
      <c r="J110" s="196">
        <v>0.57788831360946702</v>
      </c>
      <c r="K110" s="197">
        <v>0.751486034164358</v>
      </c>
      <c r="L110" s="177"/>
      <c r="M110" s="171" t="s">
        <v>26</v>
      </c>
      <c r="N110" s="204">
        <v>59.625</v>
      </c>
      <c r="O110" s="204">
        <v>239.92615384615399</v>
      </c>
      <c r="P110" s="204">
        <v>180.30115384615399</v>
      </c>
      <c r="Q110" s="197">
        <v>0.751486034164358</v>
      </c>
    </row>
    <row r="111" spans="1:17" s="163" customFormat="1" ht="18">
      <c r="A111" s="171" t="s">
        <v>27</v>
      </c>
      <c r="B111" s="204">
        <v>4.1987179487179498E-2</v>
      </c>
      <c r="C111" s="204">
        <v>0.209935897435897</v>
      </c>
      <c r="D111" s="204">
        <v>0.16794871794871799</v>
      </c>
      <c r="E111" s="197">
        <v>0.8</v>
      </c>
      <c r="G111" s="171" t="s">
        <v>27</v>
      </c>
      <c r="H111" s="196">
        <v>1.5115384615384599</v>
      </c>
      <c r="I111" s="196">
        <v>7.5576923076923102</v>
      </c>
      <c r="J111" s="196">
        <v>6.0461538461538504</v>
      </c>
      <c r="K111" s="197">
        <v>0.8</v>
      </c>
      <c r="L111" s="177"/>
      <c r="M111" s="171" t="s">
        <v>27</v>
      </c>
      <c r="N111" s="204">
        <v>471.6</v>
      </c>
      <c r="O111" s="204">
        <v>2358</v>
      </c>
      <c r="P111" s="204">
        <v>1886.4</v>
      </c>
      <c r="Q111" s="197">
        <v>0.8</v>
      </c>
    </row>
    <row r="112" spans="1:17" s="172" customFormat="1" ht="18">
      <c r="A112" s="164" t="s">
        <v>28</v>
      </c>
      <c r="B112" s="205">
        <v>316.20811200297697</v>
      </c>
      <c r="C112" s="205">
        <v>376.08667243011001</v>
      </c>
      <c r="D112" s="205">
        <v>59.8785604271336</v>
      </c>
      <c r="E112" s="211">
        <v>0.15921478961278801</v>
      </c>
      <c r="F112" s="163"/>
      <c r="G112" s="164" t="s">
        <v>28</v>
      </c>
      <c r="H112" s="205">
        <v>11383.4920321072</v>
      </c>
      <c r="I112" s="205">
        <v>13539.120207484</v>
      </c>
      <c r="J112" s="205">
        <v>2155.6281753768098</v>
      </c>
      <c r="K112" s="211">
        <v>0.15921478961278801</v>
      </c>
      <c r="L112" s="177"/>
      <c r="M112" s="164" t="s">
        <v>28</v>
      </c>
      <c r="N112" s="205">
        <v>3551649.5140174399</v>
      </c>
      <c r="O112" s="205">
        <v>4224205.5047350004</v>
      </c>
      <c r="P112" s="205">
        <v>672555.99071756401</v>
      </c>
      <c r="Q112" s="211">
        <v>0.15921478961278801</v>
      </c>
    </row>
    <row r="113" spans="1:17" s="163" customFormat="1" ht="18" hidden="1">
      <c r="A113" s="213" t="s">
        <v>29</v>
      </c>
      <c r="B113" s="214">
        <v>315.485890294397</v>
      </c>
      <c r="C113" s="214">
        <v>352.93673653267501</v>
      </c>
      <c r="D113" s="214">
        <v>37.450846238277599</v>
      </c>
      <c r="E113" s="197">
        <v>0.106112065879576</v>
      </c>
      <c r="G113" s="213" t="s">
        <v>29</v>
      </c>
      <c r="H113" s="214">
        <v>11357.492050598299</v>
      </c>
      <c r="I113" s="214">
        <v>13143.676361330099</v>
      </c>
      <c r="J113" s="214">
        <v>1786.18431073184</v>
      </c>
      <c r="K113" s="197">
        <v>0.13589685728925499</v>
      </c>
      <c r="L113" s="177"/>
      <c r="M113" s="213" t="s">
        <v>29</v>
      </c>
      <c r="N113" s="214">
        <v>3543537.5197866699</v>
      </c>
      <c r="O113" s="214">
        <v>3870610.8359753801</v>
      </c>
      <c r="P113" s="214">
        <v>327073.31618871802</v>
      </c>
      <c r="Q113" s="197">
        <v>8.4501731134717997E-2</v>
      </c>
    </row>
    <row r="114" spans="1:17" s="163" customFormat="1" ht="18" hidden="1">
      <c r="A114" s="213" t="s">
        <v>30</v>
      </c>
      <c r="B114" s="214">
        <v>0.72222170857988199</v>
      </c>
      <c r="C114" s="214">
        <v>2.2332692307692299</v>
      </c>
      <c r="D114" s="214">
        <v>1.51104752218935</v>
      </c>
      <c r="E114" s="197">
        <v>0.67660786320370403</v>
      </c>
      <c r="G114" s="213" t="s">
        <v>30</v>
      </c>
      <c r="H114" s="214">
        <v>25.999981508875699</v>
      </c>
      <c r="I114" s="214">
        <v>80.397692307692296</v>
      </c>
      <c r="J114" s="214">
        <v>54.397710798816597</v>
      </c>
      <c r="K114" s="197">
        <v>0.67660786320370403</v>
      </c>
      <c r="L114" s="177"/>
      <c r="M114" s="213" t="s">
        <v>30</v>
      </c>
      <c r="N114" s="214">
        <v>8111.9942307692299</v>
      </c>
      <c r="O114" s="214">
        <v>25084.080000000002</v>
      </c>
      <c r="P114" s="214">
        <v>2066.7011538461502</v>
      </c>
      <c r="Q114" s="197">
        <v>8.2390948914457099E-2</v>
      </c>
    </row>
    <row r="115" spans="1:17" s="163" customFormat="1" ht="18">
      <c r="A115" s="215"/>
      <c r="B115" s="215"/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5"/>
      <c r="P115" s="215"/>
      <c r="Q115" s="215"/>
    </row>
    <row r="116" spans="1:17" s="163" customFormat="1" ht="18"/>
    <row r="117" spans="1:17" ht="18">
      <c r="A117" s="178" t="s">
        <v>41</v>
      </c>
      <c r="B117" s="166" t="s">
        <v>8</v>
      </c>
      <c r="C117" s="166" t="s">
        <v>9</v>
      </c>
      <c r="D117" s="178"/>
      <c r="E117" s="188"/>
      <c r="F117" s="188"/>
      <c r="G117" s="178" t="s">
        <v>41</v>
      </c>
      <c r="H117" s="166" t="s">
        <v>8</v>
      </c>
      <c r="I117" s="166" t="s">
        <v>9</v>
      </c>
      <c r="J117" s="188"/>
      <c r="K117" s="188"/>
      <c r="L117" s="188"/>
      <c r="M117" s="178" t="s">
        <v>41</v>
      </c>
      <c r="N117" s="166" t="s">
        <v>8</v>
      </c>
      <c r="O117" s="166" t="s">
        <v>9</v>
      </c>
      <c r="P117" s="188"/>
      <c r="Q117" s="193"/>
    </row>
    <row r="118" spans="1:17" ht="18">
      <c r="A118" s="200" t="s">
        <v>10</v>
      </c>
      <c r="B118" s="189">
        <v>45</v>
      </c>
      <c r="C118" s="189">
        <v>45</v>
      </c>
      <c r="D118" s="188"/>
      <c r="E118" s="201" t="s">
        <v>34</v>
      </c>
      <c r="F118" s="188"/>
      <c r="G118" s="200" t="s">
        <v>10</v>
      </c>
      <c r="H118" s="189">
        <v>45</v>
      </c>
      <c r="I118" s="189">
        <v>45</v>
      </c>
      <c r="J118" s="188"/>
      <c r="K118" s="201" t="s">
        <v>34</v>
      </c>
      <c r="L118" s="188"/>
      <c r="M118" s="200" t="s">
        <v>10</v>
      </c>
      <c r="N118" s="189">
        <v>45</v>
      </c>
      <c r="O118" s="189">
        <v>45</v>
      </c>
      <c r="P118" s="188"/>
      <c r="Q118" s="201" t="s">
        <v>34</v>
      </c>
    </row>
    <row r="119" spans="1:17" ht="18">
      <c r="A119" s="165" t="s">
        <v>11</v>
      </c>
      <c r="B119" s="164" t="s">
        <v>12</v>
      </c>
      <c r="C119" s="164" t="s">
        <v>13</v>
      </c>
      <c r="D119" s="164" t="s">
        <v>14</v>
      </c>
      <c r="E119" s="164" t="s">
        <v>15</v>
      </c>
      <c r="F119" s="193"/>
      <c r="G119" s="165" t="s">
        <v>11</v>
      </c>
      <c r="H119" s="164" t="s">
        <v>16</v>
      </c>
      <c r="I119" s="164" t="s">
        <v>17</v>
      </c>
      <c r="J119" s="164" t="s">
        <v>18</v>
      </c>
      <c r="K119" s="164" t="s">
        <v>15</v>
      </c>
      <c r="L119" s="188"/>
      <c r="M119" s="165" t="s">
        <v>11</v>
      </c>
      <c r="N119" s="164" t="s">
        <v>19</v>
      </c>
      <c r="O119" s="164" t="s">
        <v>20</v>
      </c>
      <c r="P119" s="164" t="s">
        <v>21</v>
      </c>
      <c r="Q119" s="164" t="s">
        <v>15</v>
      </c>
    </row>
    <row r="120" spans="1:17" ht="18">
      <c r="A120" s="168" t="s">
        <v>22</v>
      </c>
      <c r="B120" s="190">
        <v>18.138651471984801</v>
      </c>
      <c r="C120" s="190">
        <v>37.813165364583298</v>
      </c>
      <c r="D120" s="190">
        <v>19.674513892598501</v>
      </c>
      <c r="E120" s="191">
        <v>0.52030856721204599</v>
      </c>
      <c r="F120" s="193"/>
      <c r="G120" s="168" t="s">
        <v>22</v>
      </c>
      <c r="H120" s="190">
        <v>816.23931623931605</v>
      </c>
      <c r="I120" s="190">
        <v>1701.5924414062499</v>
      </c>
      <c r="J120" s="190">
        <v>885.35312516693398</v>
      </c>
      <c r="K120" s="191">
        <v>0.52030856721204599</v>
      </c>
      <c r="L120" s="188"/>
      <c r="M120" s="168" t="s">
        <v>22</v>
      </c>
      <c r="N120" s="190">
        <v>254666.66666666701</v>
      </c>
      <c r="O120" s="190">
        <v>530896.84171874996</v>
      </c>
      <c r="P120" s="190">
        <v>276230.17505208298</v>
      </c>
      <c r="Q120" s="191">
        <v>0.52030856721204599</v>
      </c>
    </row>
    <row r="121" spans="1:17" ht="18">
      <c r="A121" s="168" t="s">
        <v>23</v>
      </c>
      <c r="B121" s="190">
        <v>52.015669515669501</v>
      </c>
      <c r="C121" s="190">
        <v>39.091880341880298</v>
      </c>
      <c r="D121" s="190">
        <v>-12.923789173789199</v>
      </c>
      <c r="E121" s="191">
        <v>-0.33060034617837297</v>
      </c>
      <c r="F121" s="193"/>
      <c r="G121" s="168" t="s">
        <v>23</v>
      </c>
      <c r="H121" s="190">
        <v>2340.7051282051302</v>
      </c>
      <c r="I121" s="190">
        <v>1759.13461538462</v>
      </c>
      <c r="J121" s="190">
        <v>-581.57051282051304</v>
      </c>
      <c r="K121" s="191">
        <v>-0.33060034617837297</v>
      </c>
      <c r="L121" s="188"/>
      <c r="M121" s="168" t="s">
        <v>23</v>
      </c>
      <c r="N121" s="190">
        <v>730300</v>
      </c>
      <c r="O121" s="190">
        <v>548850</v>
      </c>
      <c r="P121" s="190">
        <v>-181450</v>
      </c>
      <c r="Q121" s="191">
        <v>-0.33060034617837297</v>
      </c>
    </row>
    <row r="122" spans="1:17" ht="18">
      <c r="A122" s="168" t="s">
        <v>24</v>
      </c>
      <c r="B122" s="190">
        <v>238.46975022222199</v>
      </c>
      <c r="C122" s="190">
        <v>296.94835749287802</v>
      </c>
      <c r="D122" s="190">
        <v>58.478607270655303</v>
      </c>
      <c r="E122" s="191">
        <v>0.19693191019606099</v>
      </c>
      <c r="F122" s="193"/>
      <c r="G122" s="168" t="s">
        <v>24</v>
      </c>
      <c r="H122" s="190">
        <v>10731.13876</v>
      </c>
      <c r="I122" s="190">
        <v>13362.6760871795</v>
      </c>
      <c r="J122" s="190">
        <v>2631.5373271794901</v>
      </c>
      <c r="K122" s="191">
        <v>0.19693191019606099</v>
      </c>
      <c r="L122" s="188"/>
      <c r="M122" s="168" t="s">
        <v>24</v>
      </c>
      <c r="N122" s="190">
        <v>3348115.29312</v>
      </c>
      <c r="O122" s="190">
        <v>4169154.9391999999</v>
      </c>
      <c r="P122" s="190">
        <v>821039.64607999998</v>
      </c>
      <c r="Q122" s="191">
        <v>0.19693191019606099</v>
      </c>
    </row>
    <row r="123" spans="1:17" ht="18">
      <c r="A123" s="171" t="s">
        <v>25</v>
      </c>
      <c r="B123" s="208">
        <v>0.67492603550295904</v>
      </c>
      <c r="C123" s="208">
        <v>2.0019723865877701</v>
      </c>
      <c r="D123" s="208">
        <v>1.3270463510848101</v>
      </c>
      <c r="E123" s="191">
        <v>0.66286945812807896</v>
      </c>
      <c r="F123" s="193"/>
      <c r="G123" s="171" t="s">
        <v>25</v>
      </c>
      <c r="H123" s="190">
        <v>30.3716715976331</v>
      </c>
      <c r="I123" s="190">
        <v>90.088757396449694</v>
      </c>
      <c r="J123" s="190">
        <v>59.717085798816598</v>
      </c>
      <c r="K123" s="191">
        <v>0.66286945812807896</v>
      </c>
      <c r="L123" s="188"/>
      <c r="M123" s="171" t="s">
        <v>25</v>
      </c>
      <c r="N123" s="208">
        <v>9475.9615384615408</v>
      </c>
      <c r="O123" s="208">
        <v>28107.692307692301</v>
      </c>
      <c r="P123" s="208">
        <v>18631.730769230799</v>
      </c>
      <c r="Q123" s="191">
        <v>0.66286945812807896</v>
      </c>
    </row>
    <row r="124" spans="1:17" ht="18">
      <c r="A124" s="171" t="s">
        <v>26</v>
      </c>
      <c r="B124" s="208">
        <v>5.30849358974359E-3</v>
      </c>
      <c r="C124" s="208">
        <v>2.13609467455621E-2</v>
      </c>
      <c r="D124" s="208">
        <v>1.6052453155818502E-2</v>
      </c>
      <c r="E124" s="191">
        <v>0.751486034164358</v>
      </c>
      <c r="F124" s="193"/>
      <c r="G124" s="171" t="s">
        <v>26</v>
      </c>
      <c r="H124" s="190">
        <v>0.23888221153846201</v>
      </c>
      <c r="I124" s="190">
        <v>0.961242603550296</v>
      </c>
      <c r="J124" s="190">
        <v>0.722360392011834</v>
      </c>
      <c r="K124" s="191">
        <v>0.751486034164358</v>
      </c>
      <c r="L124" s="188"/>
      <c r="M124" s="171" t="s">
        <v>26</v>
      </c>
      <c r="N124" s="208">
        <v>74.53125</v>
      </c>
      <c r="O124" s="208">
        <v>299.907692307692</v>
      </c>
      <c r="P124" s="208">
        <v>225.376442307692</v>
      </c>
      <c r="Q124" s="191">
        <v>0.751486034164358</v>
      </c>
    </row>
    <row r="125" spans="1:17" ht="18">
      <c r="A125" s="171" t="s">
        <v>27</v>
      </c>
      <c r="B125" s="208">
        <v>3.3589743589743599E-2</v>
      </c>
      <c r="C125" s="208">
        <v>0.16794871794871799</v>
      </c>
      <c r="D125" s="208">
        <v>0.13435897435897401</v>
      </c>
      <c r="E125" s="191">
        <v>0.8</v>
      </c>
      <c r="F125" s="193"/>
      <c r="G125" s="171" t="s">
        <v>27</v>
      </c>
      <c r="H125" s="190">
        <v>1.5115384615384599</v>
      </c>
      <c r="I125" s="190">
        <v>7.5576923076923102</v>
      </c>
      <c r="J125" s="190">
        <v>6.0461538461538504</v>
      </c>
      <c r="K125" s="191">
        <v>0.8</v>
      </c>
      <c r="L125" s="188"/>
      <c r="M125" s="171" t="s">
        <v>27</v>
      </c>
      <c r="N125" s="208">
        <v>471.6</v>
      </c>
      <c r="O125" s="208">
        <v>2358</v>
      </c>
      <c r="P125" s="208">
        <v>1886.4</v>
      </c>
      <c r="Q125" s="191">
        <v>0.8</v>
      </c>
    </row>
    <row r="126" spans="1:17" ht="18">
      <c r="A126" s="164" t="s">
        <v>28</v>
      </c>
      <c r="B126" s="209">
        <v>309.33789548255902</v>
      </c>
      <c r="C126" s="209">
        <v>376.04468525062299</v>
      </c>
      <c r="D126" s="209">
        <v>66.706789768064297</v>
      </c>
      <c r="E126" s="212">
        <v>0.17739059315146599</v>
      </c>
      <c r="F126" s="193"/>
      <c r="G126" s="164" t="s">
        <v>28</v>
      </c>
      <c r="H126" s="209">
        <v>13920.205296715199</v>
      </c>
      <c r="I126" s="209">
        <v>16922.010836278001</v>
      </c>
      <c r="J126" s="209">
        <v>3001.8055395628899</v>
      </c>
      <c r="K126" s="212">
        <v>0.17739059315146599</v>
      </c>
      <c r="L126" s="188"/>
      <c r="M126" s="164" t="s">
        <v>28</v>
      </c>
      <c r="N126" s="209">
        <v>4343104.05257513</v>
      </c>
      <c r="O126" s="209">
        <v>5279667.3809187496</v>
      </c>
      <c r="P126" s="209">
        <v>936563.32834362204</v>
      </c>
      <c r="Q126" s="212">
        <v>0.17739059315146599</v>
      </c>
    </row>
    <row r="127" spans="1:17" ht="18">
      <c r="A127" s="206"/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</row>
    <row r="128" spans="1:17" ht="18">
      <c r="A128" s="193"/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1:17" ht="18">
      <c r="A129" s="178" t="s">
        <v>42</v>
      </c>
      <c r="B129" s="166" t="s">
        <v>8</v>
      </c>
      <c r="C129" s="166" t="s">
        <v>9</v>
      </c>
      <c r="D129" s="178"/>
      <c r="E129" s="188"/>
      <c r="F129" s="188"/>
      <c r="G129" s="178" t="s">
        <v>42</v>
      </c>
      <c r="H129" s="166" t="s">
        <v>8</v>
      </c>
      <c r="I129" s="166" t="s">
        <v>9</v>
      </c>
      <c r="J129" s="188"/>
      <c r="K129" s="188"/>
      <c r="L129" s="188"/>
      <c r="M129" s="178" t="s">
        <v>42</v>
      </c>
      <c r="N129" s="166" t="s">
        <v>8</v>
      </c>
      <c r="O129" s="166" t="s">
        <v>9</v>
      </c>
      <c r="P129" s="188"/>
      <c r="Q129" s="193"/>
    </row>
    <row r="130" spans="1:17" ht="18">
      <c r="A130" s="200" t="s">
        <v>10</v>
      </c>
      <c r="B130" s="189">
        <v>60</v>
      </c>
      <c r="C130" s="189">
        <v>60</v>
      </c>
      <c r="D130" s="188"/>
      <c r="E130" s="201" t="s">
        <v>34</v>
      </c>
      <c r="F130" s="188"/>
      <c r="G130" s="200" t="s">
        <v>10</v>
      </c>
      <c r="H130" s="189">
        <v>60</v>
      </c>
      <c r="I130" s="189">
        <v>60</v>
      </c>
      <c r="J130" s="188"/>
      <c r="K130" s="201" t="s">
        <v>34</v>
      </c>
      <c r="L130" s="188"/>
      <c r="M130" s="200" t="s">
        <v>10</v>
      </c>
      <c r="N130" s="189">
        <v>60</v>
      </c>
      <c r="O130" s="189">
        <v>60</v>
      </c>
      <c r="P130" s="188"/>
      <c r="Q130" s="201" t="s">
        <v>34</v>
      </c>
    </row>
    <row r="131" spans="1:17" ht="18">
      <c r="A131" s="165" t="s">
        <v>11</v>
      </c>
      <c r="B131" s="164" t="s">
        <v>12</v>
      </c>
      <c r="C131" s="164" t="s">
        <v>13</v>
      </c>
      <c r="D131" s="164" t="s">
        <v>14</v>
      </c>
      <c r="E131" s="164" t="s">
        <v>15</v>
      </c>
      <c r="F131" s="193"/>
      <c r="G131" s="165" t="s">
        <v>11</v>
      </c>
      <c r="H131" s="164" t="s">
        <v>16</v>
      </c>
      <c r="I131" s="164" t="s">
        <v>17</v>
      </c>
      <c r="J131" s="164" t="s">
        <v>18</v>
      </c>
      <c r="K131" s="164" t="s">
        <v>15</v>
      </c>
      <c r="L131" s="188"/>
      <c r="M131" s="165" t="s">
        <v>11</v>
      </c>
      <c r="N131" s="164" t="s">
        <v>19</v>
      </c>
      <c r="O131" s="164" t="s">
        <v>20</v>
      </c>
      <c r="P131" s="164" t="s">
        <v>21</v>
      </c>
      <c r="Q131" s="164" t="s">
        <v>15</v>
      </c>
    </row>
    <row r="132" spans="1:17" ht="18">
      <c r="A132" s="168" t="s">
        <v>22</v>
      </c>
      <c r="B132" s="190">
        <v>18.0978454415954</v>
      </c>
      <c r="C132" s="190">
        <v>37.813165364583298</v>
      </c>
      <c r="D132" s="190">
        <v>19.715319922987899</v>
      </c>
      <c r="E132" s="191">
        <v>0.52138771596872702</v>
      </c>
      <c r="F132" s="193"/>
      <c r="G132" s="168" t="s">
        <v>22</v>
      </c>
      <c r="H132" s="190">
        <v>1085.87072649573</v>
      </c>
      <c r="I132" s="190">
        <v>2268.7899218749999</v>
      </c>
      <c r="J132" s="190">
        <v>1182.9191953792699</v>
      </c>
      <c r="K132" s="191">
        <v>0.52138771596872702</v>
      </c>
      <c r="L132" s="188"/>
      <c r="M132" s="168" t="s">
        <v>22</v>
      </c>
      <c r="N132" s="190">
        <v>338791.66666666698</v>
      </c>
      <c r="O132" s="190">
        <v>707862.45562499994</v>
      </c>
      <c r="P132" s="190">
        <v>369070.78895833303</v>
      </c>
      <c r="Q132" s="191">
        <v>0.52138771596872702</v>
      </c>
    </row>
    <row r="133" spans="1:17" ht="18">
      <c r="A133" s="168" t="s">
        <v>23</v>
      </c>
      <c r="B133" s="190">
        <v>47.2916666666667</v>
      </c>
      <c r="C133" s="190">
        <v>39.091880341880298</v>
      </c>
      <c r="D133" s="190">
        <v>-8.1997863247863307</v>
      </c>
      <c r="E133" s="191">
        <v>-0.20975676414320901</v>
      </c>
      <c r="F133" s="193"/>
      <c r="G133" s="168" t="s">
        <v>23</v>
      </c>
      <c r="H133" s="190">
        <v>2837.5</v>
      </c>
      <c r="I133" s="190">
        <v>2345.5128205128199</v>
      </c>
      <c r="J133" s="190">
        <v>-491.98717948718001</v>
      </c>
      <c r="K133" s="191">
        <v>-0.20975676414320901</v>
      </c>
      <c r="L133" s="188"/>
      <c r="M133" s="168" t="s">
        <v>23</v>
      </c>
      <c r="N133" s="190">
        <v>885300</v>
      </c>
      <c r="O133" s="190">
        <v>731800</v>
      </c>
      <c r="P133" s="190">
        <v>-153500</v>
      </c>
      <c r="Q133" s="191">
        <v>-0.20975676414320901</v>
      </c>
    </row>
    <row r="134" spans="1:17" ht="18">
      <c r="A134" s="168" t="s">
        <v>24</v>
      </c>
      <c r="B134" s="190">
        <v>236.372740017094</v>
      </c>
      <c r="C134" s="190">
        <v>296.94835749287802</v>
      </c>
      <c r="D134" s="190">
        <v>60.575617475783503</v>
      </c>
      <c r="E134" s="191">
        <v>0.20399377853853401</v>
      </c>
      <c r="F134" s="193"/>
      <c r="G134" s="168" t="s">
        <v>24</v>
      </c>
      <c r="H134" s="190">
        <v>14182.364401025599</v>
      </c>
      <c r="I134" s="190">
        <v>17816.901449572699</v>
      </c>
      <c r="J134" s="190">
        <v>3634.5370485470098</v>
      </c>
      <c r="K134" s="191">
        <v>0.20399377853853401</v>
      </c>
      <c r="L134" s="188"/>
      <c r="M134" s="168" t="s">
        <v>24</v>
      </c>
      <c r="N134" s="190">
        <v>4424897.69312</v>
      </c>
      <c r="O134" s="190">
        <v>5558873.2522666696</v>
      </c>
      <c r="P134" s="190">
        <v>1133975.5591466699</v>
      </c>
      <c r="Q134" s="191">
        <v>0.20399377853853401</v>
      </c>
    </row>
    <row r="135" spans="1:17" ht="18">
      <c r="A135" s="171" t="s">
        <v>25</v>
      </c>
      <c r="B135" s="208">
        <v>0.67492603550295904</v>
      </c>
      <c r="C135" s="208">
        <v>2.0019723865877701</v>
      </c>
      <c r="D135" s="208">
        <v>1.3270463510848101</v>
      </c>
      <c r="E135" s="191">
        <v>0.66286945812807896</v>
      </c>
      <c r="F135" s="193"/>
      <c r="G135" s="171" t="s">
        <v>25</v>
      </c>
      <c r="H135" s="190">
        <v>40.495562130177497</v>
      </c>
      <c r="I135" s="190">
        <v>120.11834319526599</v>
      </c>
      <c r="J135" s="190">
        <v>79.622781065088802</v>
      </c>
      <c r="K135" s="191">
        <v>0.66286945812807896</v>
      </c>
      <c r="L135" s="188"/>
      <c r="M135" s="171" t="s">
        <v>25</v>
      </c>
      <c r="N135" s="208">
        <v>12634.615384615399</v>
      </c>
      <c r="O135" s="208">
        <v>37476.9230769231</v>
      </c>
      <c r="P135" s="208">
        <v>24842.307692307699</v>
      </c>
      <c r="Q135" s="191">
        <v>0.66286945812807896</v>
      </c>
    </row>
    <row r="136" spans="1:17" ht="18">
      <c r="A136" s="171" t="s">
        <v>26</v>
      </c>
      <c r="B136" s="208">
        <v>5.30849358974359E-3</v>
      </c>
      <c r="C136" s="208">
        <v>2.13609467455621E-2</v>
      </c>
      <c r="D136" s="208">
        <v>1.6052453155818502E-2</v>
      </c>
      <c r="E136" s="191">
        <v>0.751486034164358</v>
      </c>
      <c r="F136" s="193"/>
      <c r="G136" s="171" t="s">
        <v>26</v>
      </c>
      <c r="H136" s="190">
        <v>0.31850961538461497</v>
      </c>
      <c r="I136" s="190">
        <v>1.28165680473373</v>
      </c>
      <c r="J136" s="190">
        <v>0.96314718934911303</v>
      </c>
      <c r="K136" s="191">
        <v>0.751486034164358</v>
      </c>
      <c r="L136" s="188"/>
      <c r="M136" s="171" t="s">
        <v>26</v>
      </c>
      <c r="N136" s="208">
        <v>99.375</v>
      </c>
      <c r="O136" s="208">
        <v>399.87692307692299</v>
      </c>
      <c r="P136" s="208">
        <v>300.50192307692299</v>
      </c>
      <c r="Q136" s="191">
        <v>0.751486034164358</v>
      </c>
    </row>
    <row r="137" spans="1:17" ht="18">
      <c r="A137" s="171" t="s">
        <v>27</v>
      </c>
      <c r="B137" s="208">
        <v>2.5192307692307701E-2</v>
      </c>
      <c r="C137" s="208">
        <v>0.12596153846153799</v>
      </c>
      <c r="D137" s="208">
        <v>0.100769230769231</v>
      </c>
      <c r="E137" s="191">
        <v>0.8</v>
      </c>
      <c r="F137" s="193"/>
      <c r="G137" s="171" t="s">
        <v>27</v>
      </c>
      <c r="H137" s="190">
        <v>1.5115384615384599</v>
      </c>
      <c r="I137" s="190">
        <v>7.5576923076923102</v>
      </c>
      <c r="J137" s="190">
        <v>6.0461538461538504</v>
      </c>
      <c r="K137" s="191">
        <v>0.8</v>
      </c>
      <c r="L137" s="188"/>
      <c r="M137" s="171" t="s">
        <v>27</v>
      </c>
      <c r="N137" s="208">
        <v>471.6</v>
      </c>
      <c r="O137" s="208">
        <v>2358</v>
      </c>
      <c r="P137" s="208">
        <v>1886.4</v>
      </c>
      <c r="Q137" s="191">
        <v>0.8</v>
      </c>
    </row>
    <row r="138" spans="1:17" ht="18">
      <c r="A138" s="164" t="s">
        <v>28</v>
      </c>
      <c r="B138" s="209">
        <v>302.46767896214101</v>
      </c>
      <c r="C138" s="209">
        <v>376.00269807113602</v>
      </c>
      <c r="D138" s="209">
        <v>73.535019108994902</v>
      </c>
      <c r="E138" s="212">
        <v>0.19557045597338499</v>
      </c>
      <c r="F138" s="193"/>
      <c r="G138" s="164" t="s">
        <v>28</v>
      </c>
      <c r="H138" s="209">
        <v>18148.060737728501</v>
      </c>
      <c r="I138" s="209">
        <v>22560.1618842682</v>
      </c>
      <c r="J138" s="209">
        <v>4412.1011465396896</v>
      </c>
      <c r="K138" s="212">
        <v>0.19557045597338399</v>
      </c>
      <c r="L138" s="188"/>
      <c r="M138" s="164" t="s">
        <v>28</v>
      </c>
      <c r="N138" s="209">
        <v>5662194.9501712797</v>
      </c>
      <c r="O138" s="209">
        <v>7038770.5078916699</v>
      </c>
      <c r="P138" s="209">
        <v>1376575.5577203899</v>
      </c>
      <c r="Q138" s="212">
        <v>0.19557045597338499</v>
      </c>
    </row>
    <row r="139" spans="1:17" ht="18">
      <c r="A139" s="206"/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</row>
    <row r="140" spans="1:17" ht="18">
      <c r="A140" s="193"/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1:17" ht="18">
      <c r="A141" s="178" t="s">
        <v>43</v>
      </c>
      <c r="B141" s="166" t="s">
        <v>8</v>
      </c>
      <c r="C141" s="166" t="s">
        <v>9</v>
      </c>
      <c r="D141" s="178"/>
      <c r="E141" s="188"/>
      <c r="F141" s="188"/>
      <c r="G141" s="178" t="s">
        <v>43</v>
      </c>
      <c r="H141" s="166" t="s">
        <v>8</v>
      </c>
      <c r="I141" s="166" t="s">
        <v>9</v>
      </c>
      <c r="J141" s="188"/>
      <c r="K141" s="188"/>
      <c r="L141" s="188"/>
      <c r="M141" s="178" t="s">
        <v>43</v>
      </c>
      <c r="N141" s="166" t="s">
        <v>8</v>
      </c>
      <c r="O141" s="166" t="s">
        <v>9</v>
      </c>
      <c r="P141" s="188"/>
      <c r="Q141" s="193"/>
    </row>
    <row r="142" spans="1:17" ht="18">
      <c r="A142" s="200" t="s">
        <v>10</v>
      </c>
      <c r="B142" s="189">
        <v>75</v>
      </c>
      <c r="C142" s="189">
        <v>75</v>
      </c>
      <c r="D142" s="188"/>
      <c r="E142" s="201" t="s">
        <v>34</v>
      </c>
      <c r="F142" s="188"/>
      <c r="G142" s="200" t="s">
        <v>10</v>
      </c>
      <c r="H142" s="189">
        <v>75</v>
      </c>
      <c r="I142" s="189">
        <v>75</v>
      </c>
      <c r="J142" s="188"/>
      <c r="K142" s="201" t="s">
        <v>34</v>
      </c>
      <c r="L142" s="188"/>
      <c r="M142" s="200" t="s">
        <v>10</v>
      </c>
      <c r="N142" s="189">
        <v>75</v>
      </c>
      <c r="O142" s="189">
        <v>75</v>
      </c>
      <c r="P142" s="188"/>
      <c r="Q142" s="201" t="s">
        <v>34</v>
      </c>
    </row>
    <row r="143" spans="1:17" ht="18">
      <c r="A143" s="165" t="s">
        <v>11</v>
      </c>
      <c r="B143" s="164" t="s">
        <v>12</v>
      </c>
      <c r="C143" s="164" t="s">
        <v>13</v>
      </c>
      <c r="D143" s="164" t="s">
        <v>14</v>
      </c>
      <c r="E143" s="164" t="s">
        <v>15</v>
      </c>
      <c r="F143" s="193"/>
      <c r="G143" s="165" t="s">
        <v>11</v>
      </c>
      <c r="H143" s="164" t="s">
        <v>16</v>
      </c>
      <c r="I143" s="164" t="s">
        <v>17</v>
      </c>
      <c r="J143" s="164" t="s">
        <v>18</v>
      </c>
      <c r="K143" s="164" t="s">
        <v>15</v>
      </c>
      <c r="L143" s="188"/>
      <c r="M143" s="165" t="s">
        <v>11</v>
      </c>
      <c r="N143" s="164" t="s">
        <v>19</v>
      </c>
      <c r="O143" s="164" t="s">
        <v>20</v>
      </c>
      <c r="P143" s="164" t="s">
        <v>21</v>
      </c>
      <c r="Q143" s="164" t="s">
        <v>15</v>
      </c>
    </row>
    <row r="144" spans="1:17" ht="18">
      <c r="A144" s="168" t="s">
        <v>22</v>
      </c>
      <c r="B144" s="190">
        <v>18.0733618233618</v>
      </c>
      <c r="C144" s="190">
        <v>37.813165364583298</v>
      </c>
      <c r="D144" s="190">
        <v>19.739803541221502</v>
      </c>
      <c r="E144" s="191">
        <v>0.52203520522273605</v>
      </c>
      <c r="F144" s="193"/>
      <c r="G144" s="168" t="s">
        <v>22</v>
      </c>
      <c r="H144" s="190">
        <v>1355.5021367521399</v>
      </c>
      <c r="I144" s="190">
        <v>2835.9874023437501</v>
      </c>
      <c r="J144" s="190">
        <v>1480.48526559161</v>
      </c>
      <c r="K144" s="191">
        <v>0.52203520522273605</v>
      </c>
      <c r="L144" s="188"/>
      <c r="M144" s="168" t="s">
        <v>22</v>
      </c>
      <c r="N144" s="190">
        <v>422916.66666666698</v>
      </c>
      <c r="O144" s="190">
        <v>884828.06953125005</v>
      </c>
      <c r="P144" s="190">
        <v>461911.40286458301</v>
      </c>
      <c r="Q144" s="191">
        <v>0.52203520522273605</v>
      </c>
    </row>
    <row r="145" spans="1:17" ht="18">
      <c r="A145" s="168" t="s">
        <v>23</v>
      </c>
      <c r="B145" s="190">
        <v>44.457264957264996</v>
      </c>
      <c r="C145" s="190">
        <v>39.091880341880298</v>
      </c>
      <c r="D145" s="190">
        <v>-5.3653846153846096</v>
      </c>
      <c r="E145" s="191">
        <v>-0.13725061492210999</v>
      </c>
      <c r="F145" s="193"/>
      <c r="G145" s="168" t="s">
        <v>23</v>
      </c>
      <c r="H145" s="190">
        <v>3334.2948717948698</v>
      </c>
      <c r="I145" s="190">
        <v>2931.89102564103</v>
      </c>
      <c r="J145" s="190">
        <v>-402.40384615384602</v>
      </c>
      <c r="K145" s="191">
        <v>-0.13725061492210999</v>
      </c>
      <c r="L145" s="188"/>
      <c r="M145" s="168" t="s">
        <v>23</v>
      </c>
      <c r="N145" s="190">
        <v>1040300</v>
      </c>
      <c r="O145" s="190">
        <v>914750</v>
      </c>
      <c r="P145" s="190">
        <v>-125550</v>
      </c>
      <c r="Q145" s="191">
        <v>-0.13725061492210999</v>
      </c>
    </row>
    <row r="146" spans="1:17" ht="18">
      <c r="A146" s="168" t="s">
        <v>24</v>
      </c>
      <c r="B146" s="190">
        <v>236.011969791453</v>
      </c>
      <c r="C146" s="190">
        <v>296.94835749287802</v>
      </c>
      <c r="D146" s="190">
        <v>60.9363877014246</v>
      </c>
      <c r="E146" s="191">
        <v>0.205208704354885</v>
      </c>
      <c r="F146" s="193"/>
      <c r="G146" s="168" t="s">
        <v>24</v>
      </c>
      <c r="H146" s="190">
        <v>17700.897734359001</v>
      </c>
      <c r="I146" s="190">
        <v>22271.126811965802</v>
      </c>
      <c r="J146" s="190">
        <v>4570.2290776068403</v>
      </c>
      <c r="K146" s="191">
        <v>0.205208704354885</v>
      </c>
      <c r="L146" s="188"/>
      <c r="M146" s="168" t="s">
        <v>24</v>
      </c>
      <c r="N146" s="190">
        <v>5522680.0931200003</v>
      </c>
      <c r="O146" s="190">
        <v>6948591.5653333301</v>
      </c>
      <c r="P146" s="190">
        <v>1425911.47221333</v>
      </c>
      <c r="Q146" s="191">
        <v>0.205208704354885</v>
      </c>
    </row>
    <row r="147" spans="1:17" ht="18">
      <c r="A147" s="171" t="s">
        <v>25</v>
      </c>
      <c r="B147" s="208">
        <v>0.67492603550295904</v>
      </c>
      <c r="C147" s="208">
        <v>2.0019723865877701</v>
      </c>
      <c r="D147" s="208">
        <v>1.3270463510848101</v>
      </c>
      <c r="E147" s="191">
        <v>0.66286945812807896</v>
      </c>
      <c r="F147" s="193"/>
      <c r="G147" s="171" t="s">
        <v>25</v>
      </c>
      <c r="H147" s="190">
        <v>50.619452662721898</v>
      </c>
      <c r="I147" s="190">
        <v>150.147928994083</v>
      </c>
      <c r="J147" s="190">
        <v>99.528476331360906</v>
      </c>
      <c r="K147" s="191">
        <v>0.66286945812807896</v>
      </c>
      <c r="L147" s="188"/>
      <c r="M147" s="171" t="s">
        <v>25</v>
      </c>
      <c r="N147" s="208">
        <v>15793.2692307692</v>
      </c>
      <c r="O147" s="208">
        <v>46846.1538461538</v>
      </c>
      <c r="P147" s="208">
        <v>31052.884615384599</v>
      </c>
      <c r="Q147" s="191">
        <v>0.66286945812807896</v>
      </c>
    </row>
    <row r="148" spans="1:17" ht="18">
      <c r="A148" s="171" t="s">
        <v>26</v>
      </c>
      <c r="B148" s="208">
        <v>5.30849358974359E-3</v>
      </c>
      <c r="C148" s="208">
        <v>2.13609467455621E-2</v>
      </c>
      <c r="D148" s="208">
        <v>1.6052453155818502E-2</v>
      </c>
      <c r="E148" s="191">
        <v>0.751486034164358</v>
      </c>
      <c r="F148" s="193"/>
      <c r="G148" s="171" t="s">
        <v>26</v>
      </c>
      <c r="H148" s="190">
        <v>0.398137019230769</v>
      </c>
      <c r="I148" s="190">
        <v>1.6020710059171599</v>
      </c>
      <c r="J148" s="190">
        <v>1.2039339866863901</v>
      </c>
      <c r="K148" s="191">
        <v>0.751486034164358</v>
      </c>
      <c r="L148" s="188"/>
      <c r="M148" s="171" t="s">
        <v>26</v>
      </c>
      <c r="N148" s="208">
        <v>124.21875</v>
      </c>
      <c r="O148" s="208">
        <v>499.84615384615398</v>
      </c>
      <c r="P148" s="208">
        <v>375.62740384615398</v>
      </c>
      <c r="Q148" s="191">
        <v>0.751486034164358</v>
      </c>
    </row>
    <row r="149" spans="1:17" ht="18">
      <c r="A149" s="171" t="s">
        <v>27</v>
      </c>
      <c r="B149" s="208">
        <v>2.0153846153846199E-2</v>
      </c>
      <c r="C149" s="208">
        <v>0.100769230769231</v>
      </c>
      <c r="D149" s="208">
        <v>8.0615384615384603E-2</v>
      </c>
      <c r="E149" s="191">
        <v>0.8</v>
      </c>
      <c r="F149" s="193"/>
      <c r="G149" s="171" t="s">
        <v>27</v>
      </c>
      <c r="H149" s="190">
        <v>1.5115384615384599</v>
      </c>
      <c r="I149" s="190">
        <v>7.5576923076923102</v>
      </c>
      <c r="J149" s="190">
        <v>6.0461538461538504</v>
      </c>
      <c r="K149" s="191">
        <v>0.8</v>
      </c>
      <c r="L149" s="188"/>
      <c r="M149" s="171" t="s">
        <v>27</v>
      </c>
      <c r="N149" s="208">
        <v>471.6</v>
      </c>
      <c r="O149" s="208">
        <v>2358</v>
      </c>
      <c r="P149" s="208">
        <v>1886.4</v>
      </c>
      <c r="Q149" s="191">
        <v>0.8</v>
      </c>
    </row>
    <row r="150" spans="1:17" ht="18">
      <c r="A150" s="164" t="s">
        <v>28</v>
      </c>
      <c r="B150" s="209">
        <v>299.24298494732602</v>
      </c>
      <c r="C150" s="209">
        <v>375.97750576344401</v>
      </c>
      <c r="D150" s="209">
        <v>76.734520816117495</v>
      </c>
      <c r="E150" s="212">
        <v>0.20409338228972901</v>
      </c>
      <c r="F150" s="193"/>
      <c r="G150" s="164" t="s">
        <v>28</v>
      </c>
      <c r="H150" s="209">
        <v>22443.2238710495</v>
      </c>
      <c r="I150" s="209">
        <v>28198.312932258301</v>
      </c>
      <c r="J150" s="209">
        <v>5755.0890612088097</v>
      </c>
      <c r="K150" s="212">
        <v>0.20409338228972901</v>
      </c>
      <c r="L150" s="188"/>
      <c r="M150" s="164" t="s">
        <v>28</v>
      </c>
      <c r="N150" s="209">
        <v>7002285.8477674397</v>
      </c>
      <c r="O150" s="209">
        <v>8797873.6348645799</v>
      </c>
      <c r="P150" s="209">
        <v>1795587.78709715</v>
      </c>
      <c r="Q150" s="212">
        <v>0.20409338228972901</v>
      </c>
    </row>
    <row r="151" spans="1:17" ht="18">
      <c r="A151" s="206"/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</row>
    <row r="152" spans="1:17" ht="18">
      <c r="A152" s="193"/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</row>
    <row r="153" spans="1:17" ht="18">
      <c r="A153" s="178" t="s">
        <v>44</v>
      </c>
      <c r="B153" s="166" t="s">
        <v>8</v>
      </c>
      <c r="C153" s="166" t="s">
        <v>9</v>
      </c>
      <c r="D153" s="178"/>
      <c r="E153" s="188"/>
      <c r="F153" s="188"/>
      <c r="G153" s="178" t="s">
        <v>44</v>
      </c>
      <c r="H153" s="166" t="s">
        <v>8</v>
      </c>
      <c r="I153" s="166" t="s">
        <v>9</v>
      </c>
      <c r="J153" s="188"/>
      <c r="K153" s="188"/>
      <c r="L153" s="188"/>
      <c r="M153" s="178" t="s">
        <v>44</v>
      </c>
      <c r="N153" s="166" t="s">
        <v>8</v>
      </c>
      <c r="O153" s="166" t="s">
        <v>9</v>
      </c>
      <c r="P153" s="188"/>
      <c r="Q153" s="193"/>
    </row>
    <row r="154" spans="1:17" ht="18">
      <c r="A154" s="200" t="s">
        <v>10</v>
      </c>
      <c r="B154" s="189">
        <v>90</v>
      </c>
      <c r="C154" s="189">
        <v>90</v>
      </c>
      <c r="D154" s="188"/>
      <c r="E154" s="201" t="s">
        <v>34</v>
      </c>
      <c r="F154" s="188"/>
      <c r="G154" s="200" t="s">
        <v>10</v>
      </c>
      <c r="H154" s="189">
        <v>90</v>
      </c>
      <c r="I154" s="189">
        <v>90</v>
      </c>
      <c r="J154" s="188"/>
      <c r="K154" s="201" t="s">
        <v>34</v>
      </c>
      <c r="L154" s="188"/>
      <c r="M154" s="200" t="s">
        <v>10</v>
      </c>
      <c r="N154" s="189">
        <v>90</v>
      </c>
      <c r="O154" s="189">
        <v>90</v>
      </c>
      <c r="P154" s="188"/>
      <c r="Q154" s="201" t="s">
        <v>34</v>
      </c>
    </row>
    <row r="155" spans="1:17" ht="18">
      <c r="A155" s="165" t="s">
        <v>11</v>
      </c>
      <c r="B155" s="164" t="s">
        <v>12</v>
      </c>
      <c r="C155" s="164" t="s">
        <v>13</v>
      </c>
      <c r="D155" s="164" t="s">
        <v>14</v>
      </c>
      <c r="E155" s="164" t="s">
        <v>15</v>
      </c>
      <c r="F155" s="193"/>
      <c r="G155" s="165" t="s">
        <v>11</v>
      </c>
      <c r="H155" s="164" t="s">
        <v>16</v>
      </c>
      <c r="I155" s="164" t="s">
        <v>17</v>
      </c>
      <c r="J155" s="164" t="s">
        <v>18</v>
      </c>
      <c r="K155" s="164" t="s">
        <v>15</v>
      </c>
      <c r="L155" s="188"/>
      <c r="M155" s="165" t="s">
        <v>11</v>
      </c>
      <c r="N155" s="164" t="s">
        <v>19</v>
      </c>
      <c r="O155" s="164" t="s">
        <v>20</v>
      </c>
      <c r="P155" s="164" t="s">
        <v>21</v>
      </c>
      <c r="Q155" s="164" t="s">
        <v>15</v>
      </c>
    </row>
    <row r="156" spans="1:17" ht="18">
      <c r="A156" s="168" t="s">
        <v>22</v>
      </c>
      <c r="B156" s="190">
        <v>18.057039411206102</v>
      </c>
      <c r="C156" s="190">
        <v>37.813165364583298</v>
      </c>
      <c r="D156" s="190">
        <v>19.7561259533773</v>
      </c>
      <c r="E156" s="191">
        <v>0.52246686472540804</v>
      </c>
      <c r="F156" s="193"/>
      <c r="G156" s="168" t="s">
        <v>22</v>
      </c>
      <c r="H156" s="190">
        <v>1625.1335470085501</v>
      </c>
      <c r="I156" s="190">
        <v>3403.1848828124998</v>
      </c>
      <c r="J156" s="190">
        <v>1778.05133580395</v>
      </c>
      <c r="K156" s="191">
        <v>0.52246686472540804</v>
      </c>
      <c r="L156" s="188"/>
      <c r="M156" s="168" t="s">
        <v>22</v>
      </c>
      <c r="N156" s="190">
        <v>507041.66666666698</v>
      </c>
      <c r="O156" s="190">
        <v>1061793.6834374999</v>
      </c>
      <c r="P156" s="190">
        <v>554752.01677083306</v>
      </c>
      <c r="Q156" s="191">
        <v>0.52246686472540804</v>
      </c>
    </row>
    <row r="157" spans="1:17" ht="18">
      <c r="A157" s="168" t="s">
        <v>23</v>
      </c>
      <c r="B157" s="190">
        <v>42.567663817663799</v>
      </c>
      <c r="C157" s="190">
        <v>39.091880341880298</v>
      </c>
      <c r="D157" s="190">
        <v>-3.4757834757834698</v>
      </c>
      <c r="E157" s="191">
        <v>-8.8913182108043998E-2</v>
      </c>
      <c r="F157" s="193"/>
      <c r="G157" s="168" t="s">
        <v>23</v>
      </c>
      <c r="H157" s="190">
        <v>3831.08974358974</v>
      </c>
      <c r="I157" s="190">
        <v>3518.26923076923</v>
      </c>
      <c r="J157" s="190">
        <v>-312.82051282051299</v>
      </c>
      <c r="K157" s="191">
        <v>-8.8913182108044095E-2</v>
      </c>
      <c r="L157" s="188"/>
      <c r="M157" s="168" t="s">
        <v>23</v>
      </c>
      <c r="N157" s="190">
        <v>1195300</v>
      </c>
      <c r="O157" s="190">
        <v>1097700</v>
      </c>
      <c r="P157" s="190">
        <v>-97600</v>
      </c>
      <c r="Q157" s="191">
        <v>-8.8913182108044095E-2</v>
      </c>
    </row>
    <row r="158" spans="1:17" ht="18">
      <c r="A158" s="168" t="s">
        <v>24</v>
      </c>
      <c r="B158" s="190">
        <v>235.02359305982901</v>
      </c>
      <c r="C158" s="190">
        <v>296.94835749287802</v>
      </c>
      <c r="D158" s="190">
        <v>61.924764433048502</v>
      </c>
      <c r="E158" s="191">
        <v>0.208537150890063</v>
      </c>
      <c r="F158" s="193"/>
      <c r="G158" s="168" t="s">
        <v>24</v>
      </c>
      <c r="H158" s="190">
        <v>21152.123375384599</v>
      </c>
      <c r="I158" s="190">
        <v>26725.352174358999</v>
      </c>
      <c r="J158" s="190">
        <v>5573.22879897436</v>
      </c>
      <c r="K158" s="191">
        <v>0.208537150890062</v>
      </c>
      <c r="L158" s="188"/>
      <c r="M158" s="168" t="s">
        <v>24</v>
      </c>
      <c r="N158" s="190">
        <v>6599462.4931199998</v>
      </c>
      <c r="O158" s="190">
        <v>8338309.8783999998</v>
      </c>
      <c r="P158" s="190">
        <v>1738847.38528</v>
      </c>
      <c r="Q158" s="191">
        <v>0.208537150890062</v>
      </c>
    </row>
    <row r="159" spans="1:17" ht="18">
      <c r="A159" s="171" t="s">
        <v>25</v>
      </c>
      <c r="B159" s="208">
        <v>0.67492603550295904</v>
      </c>
      <c r="C159" s="208">
        <v>2.0019723865877701</v>
      </c>
      <c r="D159" s="208">
        <v>1.3270463510848101</v>
      </c>
      <c r="E159" s="191">
        <v>0.66286945812807896</v>
      </c>
      <c r="F159" s="193"/>
      <c r="G159" s="171" t="s">
        <v>25</v>
      </c>
      <c r="H159" s="190">
        <v>60.743343195266299</v>
      </c>
      <c r="I159" s="190">
        <v>180.17751479289899</v>
      </c>
      <c r="J159" s="190">
        <v>119.434171597633</v>
      </c>
      <c r="K159" s="191">
        <v>0.66286945812807896</v>
      </c>
      <c r="L159" s="188"/>
      <c r="M159" s="171" t="s">
        <v>25</v>
      </c>
      <c r="N159" s="208">
        <v>18951.9230769231</v>
      </c>
      <c r="O159" s="208">
        <v>56215.384615384603</v>
      </c>
      <c r="P159" s="208">
        <v>37263.461538461503</v>
      </c>
      <c r="Q159" s="191">
        <v>0.66286945812807896</v>
      </c>
    </row>
    <row r="160" spans="1:17" ht="18">
      <c r="A160" s="171" t="s">
        <v>26</v>
      </c>
      <c r="B160" s="208">
        <v>5.30849358974359E-3</v>
      </c>
      <c r="C160" s="208">
        <v>2.13609467455621E-2</v>
      </c>
      <c r="D160" s="208">
        <v>1.6052453155818502E-2</v>
      </c>
      <c r="E160" s="191">
        <v>0.751486034164358</v>
      </c>
      <c r="F160" s="193"/>
      <c r="G160" s="171" t="s">
        <v>26</v>
      </c>
      <c r="H160" s="190">
        <v>0.47776442307692302</v>
      </c>
      <c r="I160" s="190">
        <v>1.92248520710059</v>
      </c>
      <c r="J160" s="190">
        <v>1.44472078402367</v>
      </c>
      <c r="K160" s="191">
        <v>0.751486034164358</v>
      </c>
      <c r="L160" s="188"/>
      <c r="M160" s="171" t="s">
        <v>26</v>
      </c>
      <c r="N160" s="208">
        <v>149.0625</v>
      </c>
      <c r="O160" s="208">
        <v>599.81538461538503</v>
      </c>
      <c r="P160" s="208">
        <v>450.75288461538503</v>
      </c>
      <c r="Q160" s="191">
        <v>0.751486034164358</v>
      </c>
    </row>
    <row r="161" spans="1:17" ht="18">
      <c r="A161" s="171" t="s">
        <v>27</v>
      </c>
      <c r="B161" s="208">
        <v>1.67948717948718E-2</v>
      </c>
      <c r="C161" s="208">
        <v>8.3974358974358995E-2</v>
      </c>
      <c r="D161" s="208">
        <v>6.7179487179487199E-2</v>
      </c>
      <c r="E161" s="191">
        <v>0.8</v>
      </c>
      <c r="F161" s="193"/>
      <c r="G161" s="171" t="s">
        <v>27</v>
      </c>
      <c r="H161" s="190">
        <v>1.5115384615384599</v>
      </c>
      <c r="I161" s="190">
        <v>7.5576923076923102</v>
      </c>
      <c r="J161" s="190">
        <v>6.0461538461538504</v>
      </c>
      <c r="K161" s="191">
        <v>0.8</v>
      </c>
      <c r="L161" s="188"/>
      <c r="M161" s="171" t="s">
        <v>27</v>
      </c>
      <c r="N161" s="208">
        <v>471.6</v>
      </c>
      <c r="O161" s="208">
        <v>2358</v>
      </c>
      <c r="P161" s="208">
        <v>1886.4</v>
      </c>
      <c r="Q161" s="191">
        <v>0.8</v>
      </c>
    </row>
    <row r="162" spans="1:17" ht="18">
      <c r="A162" s="164" t="s">
        <v>28</v>
      </c>
      <c r="B162" s="209">
        <v>296.34532568958599</v>
      </c>
      <c r="C162" s="209">
        <v>375.960710891649</v>
      </c>
      <c r="D162" s="209">
        <v>79.615385202062399</v>
      </c>
      <c r="E162" s="212">
        <v>0.211765173582213</v>
      </c>
      <c r="F162" s="193"/>
      <c r="G162" s="164" t="s">
        <v>28</v>
      </c>
      <c r="H162" s="209">
        <v>26671.0793120628</v>
      </c>
      <c r="I162" s="209">
        <v>33836.463980248402</v>
      </c>
      <c r="J162" s="209">
        <v>7165.3846681856103</v>
      </c>
      <c r="K162" s="212">
        <v>0.211765173582213</v>
      </c>
      <c r="L162" s="188"/>
      <c r="M162" s="164" t="s">
        <v>28</v>
      </c>
      <c r="N162" s="209">
        <v>8321376.7453635903</v>
      </c>
      <c r="O162" s="209">
        <v>10556976.761837499</v>
      </c>
      <c r="P162" s="209">
        <v>2235600.0164739098</v>
      </c>
      <c r="Q162" s="212">
        <v>0.211765173582213</v>
      </c>
    </row>
    <row r="163" spans="1:17" ht="18">
      <c r="A163" s="206"/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</row>
    <row r="164" spans="1:17" ht="18">
      <c r="A164" s="193"/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</row>
    <row r="165" spans="1:17" ht="18">
      <c r="A165" s="178" t="s">
        <v>45</v>
      </c>
      <c r="B165" s="166" t="s">
        <v>8</v>
      </c>
      <c r="C165" s="166" t="s">
        <v>9</v>
      </c>
      <c r="D165" s="178"/>
      <c r="E165" s="188"/>
      <c r="F165" s="188"/>
      <c r="G165" s="178" t="s">
        <v>45</v>
      </c>
      <c r="H165" s="166" t="s">
        <v>8</v>
      </c>
      <c r="I165" s="166" t="s">
        <v>9</v>
      </c>
      <c r="J165" s="188"/>
      <c r="K165" s="188"/>
      <c r="L165" s="188"/>
      <c r="M165" s="178" t="s">
        <v>45</v>
      </c>
      <c r="N165" s="166" t="s">
        <v>8</v>
      </c>
      <c r="O165" s="166" t="s">
        <v>9</v>
      </c>
      <c r="P165" s="188"/>
      <c r="Q165" s="193"/>
    </row>
    <row r="166" spans="1:17" ht="18">
      <c r="A166" s="200" t="s">
        <v>10</v>
      </c>
      <c r="B166" s="189">
        <v>105</v>
      </c>
      <c r="C166" s="189">
        <v>105</v>
      </c>
      <c r="D166" s="188"/>
      <c r="E166" s="201" t="s">
        <v>34</v>
      </c>
      <c r="F166" s="188"/>
      <c r="G166" s="200" t="s">
        <v>10</v>
      </c>
      <c r="H166" s="189">
        <v>105</v>
      </c>
      <c r="I166" s="189">
        <v>105</v>
      </c>
      <c r="J166" s="188"/>
      <c r="K166" s="201" t="s">
        <v>34</v>
      </c>
      <c r="L166" s="188"/>
      <c r="M166" s="200" t="s">
        <v>10</v>
      </c>
      <c r="N166" s="189">
        <v>105</v>
      </c>
      <c r="O166" s="189">
        <v>105</v>
      </c>
      <c r="P166" s="188"/>
      <c r="Q166" s="201" t="s">
        <v>34</v>
      </c>
    </row>
    <row r="167" spans="1:17" ht="18">
      <c r="A167" s="165" t="s">
        <v>11</v>
      </c>
      <c r="B167" s="164" t="s">
        <v>12</v>
      </c>
      <c r="C167" s="164" t="s">
        <v>13</v>
      </c>
      <c r="D167" s="164" t="s">
        <v>14</v>
      </c>
      <c r="E167" s="164" t="s">
        <v>15</v>
      </c>
      <c r="F167" s="193"/>
      <c r="G167" s="165" t="s">
        <v>11</v>
      </c>
      <c r="H167" s="164" t="s">
        <v>16</v>
      </c>
      <c r="I167" s="164" t="s">
        <v>17</v>
      </c>
      <c r="J167" s="164" t="s">
        <v>18</v>
      </c>
      <c r="K167" s="164" t="s">
        <v>15</v>
      </c>
      <c r="L167" s="188"/>
      <c r="M167" s="165" t="s">
        <v>11</v>
      </c>
      <c r="N167" s="164" t="s">
        <v>19</v>
      </c>
      <c r="O167" s="164" t="s">
        <v>20</v>
      </c>
      <c r="P167" s="164" t="s">
        <v>21</v>
      </c>
      <c r="Q167" s="164" t="s">
        <v>15</v>
      </c>
    </row>
    <row r="168" spans="1:17" ht="18">
      <c r="A168" s="168" t="s">
        <v>22</v>
      </c>
      <c r="B168" s="190">
        <v>18.0453805453805</v>
      </c>
      <c r="C168" s="190">
        <v>37.813165364583298</v>
      </c>
      <c r="D168" s="190">
        <v>19.767784819202799</v>
      </c>
      <c r="E168" s="191">
        <v>0.52277519294160302</v>
      </c>
      <c r="F168" s="193"/>
      <c r="G168" s="168" t="s">
        <v>22</v>
      </c>
      <c r="H168" s="190">
        <v>1894.76495726496</v>
      </c>
      <c r="I168" s="190">
        <v>3970.38236328125</v>
      </c>
      <c r="J168" s="190">
        <v>2075.6174060162898</v>
      </c>
      <c r="K168" s="191">
        <v>0.52277519294160302</v>
      </c>
      <c r="L168" s="188"/>
      <c r="M168" s="168" t="s">
        <v>22</v>
      </c>
      <c r="N168" s="190">
        <v>591166.66666666698</v>
      </c>
      <c r="O168" s="190">
        <v>1238759.29734375</v>
      </c>
      <c r="P168" s="190">
        <v>647592.63067708304</v>
      </c>
      <c r="Q168" s="191">
        <v>0.52277519294160302</v>
      </c>
    </row>
    <row r="169" spans="1:17" ht="18">
      <c r="A169" s="168" t="s">
        <v>23</v>
      </c>
      <c r="B169" s="190">
        <v>41.217948717948701</v>
      </c>
      <c r="C169" s="190">
        <v>39.091880341880298</v>
      </c>
      <c r="D169" s="190">
        <v>-2.1260683760683698</v>
      </c>
      <c r="E169" s="191">
        <v>-5.4386444383711402E-2</v>
      </c>
      <c r="F169" s="193"/>
      <c r="G169" s="168" t="s">
        <v>23</v>
      </c>
      <c r="H169" s="190">
        <v>4327.8846153846198</v>
      </c>
      <c r="I169" s="190">
        <v>4104.6474358974401</v>
      </c>
      <c r="J169" s="190">
        <v>-223.23717948717999</v>
      </c>
      <c r="K169" s="191">
        <v>-5.4386444383711402E-2</v>
      </c>
      <c r="L169" s="188"/>
      <c r="M169" s="168" t="s">
        <v>23</v>
      </c>
      <c r="N169" s="190">
        <v>1350300</v>
      </c>
      <c r="O169" s="190">
        <v>1280650</v>
      </c>
      <c r="P169" s="190">
        <v>-69650</v>
      </c>
      <c r="Q169" s="191">
        <v>-5.4386444383711402E-2</v>
      </c>
    </row>
    <row r="170" spans="1:17" ht="18">
      <c r="A170" s="168" t="s">
        <v>24</v>
      </c>
      <c r="B170" s="190">
        <v>234.95863532112301</v>
      </c>
      <c r="C170" s="190">
        <v>296.94835749287802</v>
      </c>
      <c r="D170" s="190">
        <v>61.989722171754202</v>
      </c>
      <c r="E170" s="191">
        <v>0.20875590185152301</v>
      </c>
      <c r="F170" s="193"/>
      <c r="G170" s="168" t="s">
        <v>24</v>
      </c>
      <c r="H170" s="190">
        <v>24670.656708717899</v>
      </c>
      <c r="I170" s="190">
        <v>31179.577536752098</v>
      </c>
      <c r="J170" s="190">
        <v>6508.92082803418</v>
      </c>
      <c r="K170" s="191">
        <v>0.20875590185152301</v>
      </c>
      <c r="L170" s="188"/>
      <c r="M170" s="168" t="s">
        <v>24</v>
      </c>
      <c r="N170" s="190">
        <v>7697244.8931200001</v>
      </c>
      <c r="O170" s="190">
        <v>9728028.1914666593</v>
      </c>
      <c r="P170" s="190">
        <v>2030783.2983466601</v>
      </c>
      <c r="Q170" s="191">
        <v>0.20875590185152301</v>
      </c>
    </row>
    <row r="171" spans="1:17" ht="18">
      <c r="A171" s="171" t="s">
        <v>25</v>
      </c>
      <c r="B171" s="208">
        <v>0.67492603550295904</v>
      </c>
      <c r="C171" s="208">
        <v>2.0019723865877701</v>
      </c>
      <c r="D171" s="208">
        <v>1.3270463510848101</v>
      </c>
      <c r="E171" s="191">
        <v>0.66286945812807896</v>
      </c>
      <c r="F171" s="193"/>
      <c r="G171" s="171" t="s">
        <v>25</v>
      </c>
      <c r="H171" s="190">
        <v>70.867233727810699</v>
      </c>
      <c r="I171" s="190">
        <v>210.207100591716</v>
      </c>
      <c r="J171" s="190">
        <v>139.339866863905</v>
      </c>
      <c r="K171" s="191">
        <v>0.66286945812807896</v>
      </c>
      <c r="L171" s="188"/>
      <c r="M171" s="171" t="s">
        <v>25</v>
      </c>
      <c r="N171" s="208">
        <v>22110.5769230769</v>
      </c>
      <c r="O171" s="208">
        <v>65584.615384615405</v>
      </c>
      <c r="P171" s="208">
        <v>43474.038461538497</v>
      </c>
      <c r="Q171" s="191">
        <v>0.66286945812807896</v>
      </c>
    </row>
    <row r="172" spans="1:17" ht="18">
      <c r="A172" s="171" t="s">
        <v>26</v>
      </c>
      <c r="B172" s="208">
        <v>5.30849358974359E-3</v>
      </c>
      <c r="C172" s="208">
        <v>2.13609467455621E-2</v>
      </c>
      <c r="D172" s="208">
        <v>1.6052453155818502E-2</v>
      </c>
      <c r="E172" s="191">
        <v>0.751486034164358</v>
      </c>
      <c r="F172" s="193"/>
      <c r="G172" s="171" t="s">
        <v>26</v>
      </c>
      <c r="H172" s="190">
        <v>0.55739182692307698</v>
      </c>
      <c r="I172" s="190">
        <v>2.2428994082840199</v>
      </c>
      <c r="J172" s="190">
        <v>1.6855075813609499</v>
      </c>
      <c r="K172" s="191">
        <v>0.751486034164358</v>
      </c>
      <c r="L172" s="188"/>
      <c r="M172" s="171" t="s">
        <v>26</v>
      </c>
      <c r="N172" s="208">
        <v>173.90625</v>
      </c>
      <c r="O172" s="208">
        <v>699.78461538461499</v>
      </c>
      <c r="P172" s="208">
        <v>525.87836538461499</v>
      </c>
      <c r="Q172" s="191">
        <v>0.751486034164358</v>
      </c>
    </row>
    <row r="173" spans="1:17" ht="18">
      <c r="A173" s="171" t="s">
        <v>27</v>
      </c>
      <c r="B173" s="208">
        <v>1.4395604395604399E-2</v>
      </c>
      <c r="C173" s="208">
        <v>7.1978021978022E-2</v>
      </c>
      <c r="D173" s="208">
        <v>5.7582417582417597E-2</v>
      </c>
      <c r="E173" s="191">
        <v>0.8</v>
      </c>
      <c r="F173" s="193"/>
      <c r="G173" s="171" t="s">
        <v>27</v>
      </c>
      <c r="H173" s="190">
        <v>1.5115384615384599</v>
      </c>
      <c r="I173" s="190">
        <v>7.5576923076923102</v>
      </c>
      <c r="J173" s="190">
        <v>6.0461538461538504</v>
      </c>
      <c r="K173" s="191">
        <v>0.8</v>
      </c>
      <c r="L173" s="188"/>
      <c r="M173" s="171" t="s">
        <v>27</v>
      </c>
      <c r="N173" s="208">
        <v>471.6</v>
      </c>
      <c r="O173" s="208">
        <v>2358</v>
      </c>
      <c r="P173" s="208">
        <v>1886.4</v>
      </c>
      <c r="Q173" s="191">
        <v>0.8</v>
      </c>
    </row>
    <row r="174" spans="1:17" ht="18">
      <c r="A174" s="164" t="s">
        <v>28</v>
      </c>
      <c r="B174" s="209">
        <v>294.916594717941</v>
      </c>
      <c r="C174" s="209">
        <v>375.94871455465301</v>
      </c>
      <c r="D174" s="209">
        <v>81.032119836711701</v>
      </c>
      <c r="E174" s="212">
        <v>0.215540356169862</v>
      </c>
      <c r="F174" s="193"/>
      <c r="G174" s="164" t="s">
        <v>28</v>
      </c>
      <c r="H174" s="209">
        <v>30966.242445383799</v>
      </c>
      <c r="I174" s="209">
        <v>39474.615028238499</v>
      </c>
      <c r="J174" s="209">
        <v>8508.3725828547194</v>
      </c>
      <c r="K174" s="212">
        <v>0.215540356169862</v>
      </c>
      <c r="L174" s="188"/>
      <c r="M174" s="164" t="s">
        <v>28</v>
      </c>
      <c r="N174" s="209">
        <v>9661467.64295974</v>
      </c>
      <c r="O174" s="209">
        <v>12316079.8888104</v>
      </c>
      <c r="P174" s="209">
        <v>2654612.2458506702</v>
      </c>
      <c r="Q174" s="212">
        <v>0.215540356169862</v>
      </c>
    </row>
    <row r="175" spans="1:17" ht="18">
      <c r="A175" s="206"/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</row>
    <row r="176" spans="1:17" ht="18">
      <c r="A176" s="193"/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7" spans="1:17" ht="18">
      <c r="A177" s="178" t="s">
        <v>46</v>
      </c>
      <c r="B177" s="166" t="s">
        <v>8</v>
      </c>
      <c r="C177" s="166" t="s">
        <v>9</v>
      </c>
      <c r="D177" s="178"/>
      <c r="E177" s="188"/>
      <c r="F177" s="188"/>
      <c r="G177" s="178" t="s">
        <v>46</v>
      </c>
      <c r="H177" s="166" t="s">
        <v>8</v>
      </c>
      <c r="I177" s="166" t="s">
        <v>9</v>
      </c>
      <c r="J177" s="188"/>
      <c r="K177" s="188"/>
      <c r="L177" s="188"/>
      <c r="M177" s="178" t="s">
        <v>46</v>
      </c>
      <c r="N177" s="166" t="s">
        <v>8</v>
      </c>
      <c r="O177" s="166" t="s">
        <v>9</v>
      </c>
      <c r="P177" s="188"/>
      <c r="Q177" s="193"/>
    </row>
    <row r="178" spans="1:17" ht="18">
      <c r="A178" s="200" t="s">
        <v>10</v>
      </c>
      <c r="B178" s="189">
        <v>120</v>
      </c>
      <c r="C178" s="189">
        <v>120</v>
      </c>
      <c r="D178" s="188"/>
      <c r="E178" s="201" t="s">
        <v>34</v>
      </c>
      <c r="F178" s="188"/>
      <c r="G178" s="200" t="s">
        <v>10</v>
      </c>
      <c r="H178" s="189">
        <v>120</v>
      </c>
      <c r="I178" s="189">
        <v>120</v>
      </c>
      <c r="J178" s="188"/>
      <c r="K178" s="201" t="s">
        <v>34</v>
      </c>
      <c r="L178" s="188"/>
      <c r="M178" s="200" t="s">
        <v>10</v>
      </c>
      <c r="N178" s="189">
        <v>120</v>
      </c>
      <c r="O178" s="189">
        <v>120</v>
      </c>
      <c r="P178" s="188"/>
      <c r="Q178" s="201" t="s">
        <v>34</v>
      </c>
    </row>
    <row r="179" spans="1:17" ht="18">
      <c r="A179" s="165" t="s">
        <v>11</v>
      </c>
      <c r="B179" s="164" t="s">
        <v>12</v>
      </c>
      <c r="C179" s="164" t="s">
        <v>13</v>
      </c>
      <c r="D179" s="164" t="s">
        <v>14</v>
      </c>
      <c r="E179" s="164" t="s">
        <v>15</v>
      </c>
      <c r="F179" s="193"/>
      <c r="G179" s="165" t="s">
        <v>11</v>
      </c>
      <c r="H179" s="164" t="s">
        <v>16</v>
      </c>
      <c r="I179" s="164" t="s">
        <v>17</v>
      </c>
      <c r="J179" s="164" t="s">
        <v>18</v>
      </c>
      <c r="K179" s="164" t="s">
        <v>15</v>
      </c>
      <c r="L179" s="188"/>
      <c r="M179" s="165" t="s">
        <v>11</v>
      </c>
      <c r="N179" s="164" t="s">
        <v>19</v>
      </c>
      <c r="O179" s="164" t="s">
        <v>20</v>
      </c>
      <c r="P179" s="164" t="s">
        <v>21</v>
      </c>
      <c r="Q179" s="164" t="s">
        <v>15</v>
      </c>
    </row>
    <row r="180" spans="1:17" ht="18">
      <c r="A180" s="168" t="s">
        <v>22</v>
      </c>
      <c r="B180" s="190">
        <v>18.036636396011399</v>
      </c>
      <c r="C180" s="190">
        <v>37.813165364583298</v>
      </c>
      <c r="D180" s="190">
        <v>19.776528968571899</v>
      </c>
      <c r="E180" s="191">
        <v>0.523006439103749</v>
      </c>
      <c r="F180" s="193"/>
      <c r="G180" s="168" t="s">
        <v>22</v>
      </c>
      <c r="H180" s="190">
        <v>2164.3963675213699</v>
      </c>
      <c r="I180" s="190">
        <v>4537.5798437499998</v>
      </c>
      <c r="J180" s="190">
        <v>2373.1834762286298</v>
      </c>
      <c r="K180" s="191">
        <v>0.523006439103749</v>
      </c>
      <c r="L180" s="188"/>
      <c r="M180" s="168" t="s">
        <v>22</v>
      </c>
      <c r="N180" s="190">
        <v>675291.66666666698</v>
      </c>
      <c r="O180" s="190">
        <v>1415724.9112499999</v>
      </c>
      <c r="P180" s="190">
        <v>740433.24458333303</v>
      </c>
      <c r="Q180" s="191">
        <v>0.523006439103749</v>
      </c>
    </row>
    <row r="181" spans="1:17" ht="18">
      <c r="A181" s="168" t="s">
        <v>23</v>
      </c>
      <c r="B181" s="190">
        <v>40.205662393162399</v>
      </c>
      <c r="C181" s="190">
        <v>39.091880341880298</v>
      </c>
      <c r="D181" s="190">
        <v>-1.11378205128205</v>
      </c>
      <c r="E181" s="191">
        <v>-2.84913910904619E-2</v>
      </c>
      <c r="F181" s="193"/>
      <c r="G181" s="168" t="s">
        <v>23</v>
      </c>
      <c r="H181" s="190">
        <v>4824.67948717949</v>
      </c>
      <c r="I181" s="190">
        <v>4691.0256410256397</v>
      </c>
      <c r="J181" s="190">
        <v>-133.65384615384701</v>
      </c>
      <c r="K181" s="191">
        <v>-2.8491391090462E-2</v>
      </c>
      <c r="L181" s="188"/>
      <c r="M181" s="168" t="s">
        <v>23</v>
      </c>
      <c r="N181" s="190">
        <v>1505300</v>
      </c>
      <c r="O181" s="190">
        <v>1463600</v>
      </c>
      <c r="P181" s="190">
        <v>-41700</v>
      </c>
      <c r="Q181" s="191">
        <v>-2.84913910904619E-2</v>
      </c>
    </row>
    <row r="182" spans="1:17" ht="18">
      <c r="A182" s="168" t="s">
        <v>24</v>
      </c>
      <c r="B182" s="190">
        <v>234.34901958119701</v>
      </c>
      <c r="C182" s="190">
        <v>296.94835749287802</v>
      </c>
      <c r="D182" s="190">
        <v>62.599337911680898</v>
      </c>
      <c r="E182" s="191">
        <v>0.21080883706582701</v>
      </c>
      <c r="F182" s="193"/>
      <c r="G182" s="168" t="s">
        <v>24</v>
      </c>
      <c r="H182" s="190">
        <v>28121.882349743599</v>
      </c>
      <c r="I182" s="190">
        <v>35633.802899145303</v>
      </c>
      <c r="J182" s="190">
        <v>7511.9205494017096</v>
      </c>
      <c r="K182" s="191">
        <v>0.21080883706582701</v>
      </c>
      <c r="L182" s="188"/>
      <c r="M182" s="168" t="s">
        <v>24</v>
      </c>
      <c r="N182" s="190">
        <v>8774027.2931200005</v>
      </c>
      <c r="O182" s="190">
        <v>11117746.5045333</v>
      </c>
      <c r="P182" s="190">
        <v>2343719.2114133402</v>
      </c>
      <c r="Q182" s="191">
        <v>0.21080883706582701</v>
      </c>
    </row>
    <row r="183" spans="1:17" ht="18">
      <c r="A183" s="171" t="s">
        <v>25</v>
      </c>
      <c r="B183" s="208">
        <v>0.67492603550295904</v>
      </c>
      <c r="C183" s="208">
        <v>2.0019723865877701</v>
      </c>
      <c r="D183" s="208">
        <v>1.3270463510848101</v>
      </c>
      <c r="E183" s="191">
        <v>0.66286945812807896</v>
      </c>
      <c r="F183" s="193"/>
      <c r="G183" s="171" t="s">
        <v>25</v>
      </c>
      <c r="H183" s="190">
        <v>80.991124260354994</v>
      </c>
      <c r="I183" s="190">
        <v>240.23668639053301</v>
      </c>
      <c r="J183" s="190">
        <v>159.245562130178</v>
      </c>
      <c r="K183" s="191">
        <v>0.66286945812807896</v>
      </c>
      <c r="L183" s="188"/>
      <c r="M183" s="171" t="s">
        <v>25</v>
      </c>
      <c r="N183" s="208">
        <v>25269.230769230799</v>
      </c>
      <c r="O183" s="208">
        <v>74953.8461538462</v>
      </c>
      <c r="P183" s="208">
        <v>49684.615384615397</v>
      </c>
      <c r="Q183" s="191">
        <v>0.66286945812807896</v>
      </c>
    </row>
    <row r="184" spans="1:17" ht="18">
      <c r="A184" s="171" t="s">
        <v>26</v>
      </c>
      <c r="B184" s="208">
        <v>5.30849358974359E-3</v>
      </c>
      <c r="C184" s="208">
        <v>2.13609467455621E-2</v>
      </c>
      <c r="D184" s="208">
        <v>1.6052453155818502E-2</v>
      </c>
      <c r="E184" s="191">
        <v>0.751486034164358</v>
      </c>
      <c r="F184" s="193"/>
      <c r="G184" s="171" t="s">
        <v>26</v>
      </c>
      <c r="H184" s="190">
        <v>0.63701923076923095</v>
      </c>
      <c r="I184" s="190">
        <v>2.56331360946746</v>
      </c>
      <c r="J184" s="190">
        <v>1.9262943786982301</v>
      </c>
      <c r="K184" s="191">
        <v>0.751486034164358</v>
      </c>
      <c r="L184" s="188"/>
      <c r="M184" s="171" t="s">
        <v>26</v>
      </c>
      <c r="N184" s="208">
        <v>198.75</v>
      </c>
      <c r="O184" s="208">
        <v>799.75384615384598</v>
      </c>
      <c r="P184" s="208">
        <v>601.00384615384598</v>
      </c>
      <c r="Q184" s="191">
        <v>0.751486034164358</v>
      </c>
    </row>
    <row r="185" spans="1:17" ht="18">
      <c r="A185" s="171" t="s">
        <v>27</v>
      </c>
      <c r="B185" s="208">
        <v>1.25961538461538E-2</v>
      </c>
      <c r="C185" s="208">
        <v>6.2980769230769201E-2</v>
      </c>
      <c r="D185" s="208">
        <v>5.0384615384615403E-2</v>
      </c>
      <c r="E185" s="191">
        <v>0.8</v>
      </c>
      <c r="F185" s="193"/>
      <c r="G185" s="171" t="s">
        <v>27</v>
      </c>
      <c r="H185" s="190">
        <v>1.5115384615384599</v>
      </c>
      <c r="I185" s="190">
        <v>7.5576923076923102</v>
      </c>
      <c r="J185" s="190">
        <v>6.0461538461538504</v>
      </c>
      <c r="K185" s="191">
        <v>0.8</v>
      </c>
      <c r="L185" s="188"/>
      <c r="M185" s="171" t="s">
        <v>27</v>
      </c>
      <c r="N185" s="208">
        <v>471.6</v>
      </c>
      <c r="O185" s="208">
        <v>2358</v>
      </c>
      <c r="P185" s="208">
        <v>1886.4</v>
      </c>
      <c r="Q185" s="191">
        <v>0.8</v>
      </c>
    </row>
    <row r="186" spans="1:17" ht="18">
      <c r="A186" s="164" t="s">
        <v>28</v>
      </c>
      <c r="B186" s="209">
        <v>293.28414905330902</v>
      </c>
      <c r="C186" s="209">
        <v>375.93971730190498</v>
      </c>
      <c r="D186" s="209">
        <v>82.655568248596097</v>
      </c>
      <c r="E186" s="212">
        <v>0.21986388892828301</v>
      </c>
      <c r="F186" s="193"/>
      <c r="G186" s="164" t="s">
        <v>28</v>
      </c>
      <c r="H186" s="209">
        <v>35194.097886397103</v>
      </c>
      <c r="I186" s="209">
        <v>45112.766076228603</v>
      </c>
      <c r="J186" s="209">
        <v>9918.6681898315292</v>
      </c>
      <c r="K186" s="212">
        <v>0.21986388892828301</v>
      </c>
      <c r="L186" s="188"/>
      <c r="M186" s="164" t="s">
        <v>28</v>
      </c>
      <c r="N186" s="209">
        <v>10980558.5405559</v>
      </c>
      <c r="O186" s="209">
        <v>14075183.015783301</v>
      </c>
      <c r="P186" s="209">
        <v>3094624.4752274398</v>
      </c>
      <c r="Q186" s="212">
        <v>0.21986388892828301</v>
      </c>
    </row>
    <row r="187" spans="1:17" ht="18">
      <c r="A187" s="206"/>
      <c r="B187" s="206"/>
      <c r="C187" s="206"/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</row>
    <row r="188" spans="1:17" ht="18">
      <c r="A188" s="193"/>
      <c r="B188" s="193"/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</row>
    <row r="189" spans="1:17" ht="18">
      <c r="A189" s="178" t="s">
        <v>47</v>
      </c>
      <c r="B189" s="166" t="s">
        <v>8</v>
      </c>
      <c r="C189" s="166" t="s">
        <v>9</v>
      </c>
      <c r="D189" s="178"/>
      <c r="E189" s="188"/>
      <c r="F189" s="188"/>
      <c r="G189" s="178" t="s">
        <v>47</v>
      </c>
      <c r="H189" s="166" t="s">
        <v>8</v>
      </c>
      <c r="I189" s="166" t="s">
        <v>9</v>
      </c>
      <c r="J189" s="188"/>
      <c r="K189" s="188"/>
      <c r="L189" s="188"/>
      <c r="M189" s="178" t="s">
        <v>47</v>
      </c>
      <c r="N189" s="166" t="s">
        <v>8</v>
      </c>
      <c r="O189" s="166" t="s">
        <v>9</v>
      </c>
      <c r="P189" s="188"/>
      <c r="Q189" s="193"/>
    </row>
    <row r="190" spans="1:17" ht="18">
      <c r="A190" s="200" t="s">
        <v>10</v>
      </c>
      <c r="B190" s="189">
        <v>135</v>
      </c>
      <c r="C190" s="189">
        <v>135</v>
      </c>
      <c r="D190" s="188"/>
      <c r="E190" s="201" t="s">
        <v>34</v>
      </c>
      <c r="F190" s="188"/>
      <c r="G190" s="200" t="s">
        <v>10</v>
      </c>
      <c r="H190" s="189">
        <v>135</v>
      </c>
      <c r="I190" s="189">
        <v>135</v>
      </c>
      <c r="J190" s="188"/>
      <c r="K190" s="201" t="s">
        <v>34</v>
      </c>
      <c r="L190" s="188"/>
      <c r="M190" s="200" t="s">
        <v>10</v>
      </c>
      <c r="N190" s="189">
        <v>135</v>
      </c>
      <c r="O190" s="189">
        <v>135</v>
      </c>
      <c r="P190" s="188"/>
      <c r="Q190" s="201" t="s">
        <v>34</v>
      </c>
    </row>
    <row r="191" spans="1:17" ht="18">
      <c r="A191" s="165" t="s">
        <v>11</v>
      </c>
      <c r="B191" s="164" t="s">
        <v>12</v>
      </c>
      <c r="C191" s="164" t="s">
        <v>13</v>
      </c>
      <c r="D191" s="164" t="s">
        <v>14</v>
      </c>
      <c r="E191" s="164" t="s">
        <v>15</v>
      </c>
      <c r="F191" s="193"/>
      <c r="G191" s="165" t="s">
        <v>11</v>
      </c>
      <c r="H191" s="164" t="s">
        <v>16</v>
      </c>
      <c r="I191" s="164" t="s">
        <v>17</v>
      </c>
      <c r="J191" s="164" t="s">
        <v>18</v>
      </c>
      <c r="K191" s="164" t="s">
        <v>15</v>
      </c>
      <c r="L191" s="188"/>
      <c r="M191" s="165" t="s">
        <v>11</v>
      </c>
      <c r="N191" s="164" t="s">
        <v>19</v>
      </c>
      <c r="O191" s="164" t="s">
        <v>20</v>
      </c>
      <c r="P191" s="164" t="s">
        <v>21</v>
      </c>
      <c r="Q191" s="164" t="s">
        <v>15</v>
      </c>
    </row>
    <row r="192" spans="1:17" ht="18">
      <c r="A192" s="168" t="s">
        <v>22</v>
      </c>
      <c r="B192" s="190">
        <v>18.029835390946499</v>
      </c>
      <c r="C192" s="190">
        <v>37.813165364583298</v>
      </c>
      <c r="D192" s="190">
        <v>19.7833299736368</v>
      </c>
      <c r="E192" s="191">
        <v>0.52318629722986199</v>
      </c>
      <c r="F192" s="193"/>
      <c r="G192" s="168" t="s">
        <v>22</v>
      </c>
      <c r="H192" s="190">
        <v>2434.0277777777801</v>
      </c>
      <c r="I192" s="190">
        <v>5104.7773242187504</v>
      </c>
      <c r="J192" s="190">
        <v>2670.7495464409699</v>
      </c>
      <c r="K192" s="191">
        <v>0.52318629722986199</v>
      </c>
      <c r="L192" s="188"/>
      <c r="M192" s="168" t="s">
        <v>22</v>
      </c>
      <c r="N192" s="190">
        <v>759416.66666666698</v>
      </c>
      <c r="O192" s="190">
        <v>1592690.52515625</v>
      </c>
      <c r="P192" s="190">
        <v>833273.85848958301</v>
      </c>
      <c r="Q192" s="191">
        <v>0.52318629722986199</v>
      </c>
    </row>
    <row r="193" spans="1:17" ht="18">
      <c r="A193" s="168" t="s">
        <v>23</v>
      </c>
      <c r="B193" s="190">
        <v>39.418328584995301</v>
      </c>
      <c r="C193" s="190">
        <v>39.091880341880298</v>
      </c>
      <c r="D193" s="190">
        <v>-0.32644824311491</v>
      </c>
      <c r="E193" s="191">
        <v>-8.3507940846011507E-3</v>
      </c>
      <c r="F193" s="193"/>
      <c r="G193" s="168" t="s">
        <v>23</v>
      </c>
      <c r="H193" s="190">
        <v>5321.4743589743603</v>
      </c>
      <c r="I193" s="190">
        <v>5277.4038461538503</v>
      </c>
      <c r="J193" s="190">
        <v>-44.070512820513599</v>
      </c>
      <c r="K193" s="191">
        <v>-8.3507940846012894E-3</v>
      </c>
      <c r="L193" s="188"/>
      <c r="M193" s="168" t="s">
        <v>23</v>
      </c>
      <c r="N193" s="190">
        <v>1660300</v>
      </c>
      <c r="O193" s="190">
        <v>1646550</v>
      </c>
      <c r="P193" s="190">
        <v>-13750</v>
      </c>
      <c r="Q193" s="191">
        <v>-8.3507940846011403E-3</v>
      </c>
    </row>
    <row r="194" spans="1:17" ht="18">
      <c r="A194" s="168" t="s">
        <v>24</v>
      </c>
      <c r="B194" s="190">
        <v>234.373449504273</v>
      </c>
      <c r="C194" s="190">
        <v>296.94835749287802</v>
      </c>
      <c r="D194" s="190">
        <v>62.574907988603997</v>
      </c>
      <c r="E194" s="191">
        <v>0.21072656712743401</v>
      </c>
      <c r="F194" s="193"/>
      <c r="G194" s="168" t="s">
        <v>24</v>
      </c>
      <c r="H194" s="190">
        <v>31640.415683076899</v>
      </c>
      <c r="I194" s="190">
        <v>40088.0282615385</v>
      </c>
      <c r="J194" s="190">
        <v>8447.6125784615397</v>
      </c>
      <c r="K194" s="191">
        <v>0.21072656712743401</v>
      </c>
      <c r="L194" s="188"/>
      <c r="M194" s="168" t="s">
        <v>24</v>
      </c>
      <c r="N194" s="190">
        <v>9871809.6931200009</v>
      </c>
      <c r="O194" s="190">
        <v>12507464.817600001</v>
      </c>
      <c r="P194" s="190">
        <v>2635655.1244800002</v>
      </c>
      <c r="Q194" s="191">
        <v>0.21072656712743401</v>
      </c>
    </row>
    <row r="195" spans="1:17" ht="18">
      <c r="A195" s="171" t="s">
        <v>25</v>
      </c>
      <c r="B195" s="208">
        <v>0.67492603550295904</v>
      </c>
      <c r="C195" s="208">
        <v>2.0019723865877701</v>
      </c>
      <c r="D195" s="208">
        <v>1.3270463510848101</v>
      </c>
      <c r="E195" s="191">
        <v>0.66286945812807896</v>
      </c>
      <c r="F195" s="193"/>
      <c r="G195" s="171" t="s">
        <v>25</v>
      </c>
      <c r="H195" s="190">
        <v>91.115014792899402</v>
      </c>
      <c r="I195" s="190">
        <v>270.26627218934902</v>
      </c>
      <c r="J195" s="190">
        <v>179.15125739645001</v>
      </c>
      <c r="K195" s="191">
        <v>0.66286945812807896</v>
      </c>
      <c r="L195" s="188"/>
      <c r="M195" s="171" t="s">
        <v>25</v>
      </c>
      <c r="N195" s="208">
        <v>28427.884615384599</v>
      </c>
      <c r="O195" s="208">
        <v>84323.076923076893</v>
      </c>
      <c r="P195" s="208">
        <v>55895.192307692298</v>
      </c>
      <c r="Q195" s="191">
        <v>0.66286945812807896</v>
      </c>
    </row>
    <row r="196" spans="1:17" ht="18">
      <c r="A196" s="171" t="s">
        <v>26</v>
      </c>
      <c r="B196" s="208">
        <v>5.30849358974359E-3</v>
      </c>
      <c r="C196" s="208">
        <v>2.13609467455621E-2</v>
      </c>
      <c r="D196" s="208">
        <v>1.6052453155818502E-2</v>
      </c>
      <c r="E196" s="191">
        <v>0.751486034164358</v>
      </c>
      <c r="F196" s="193"/>
      <c r="G196" s="171" t="s">
        <v>26</v>
      </c>
      <c r="H196" s="190">
        <v>0.71664663461538503</v>
      </c>
      <c r="I196" s="190">
        <v>2.8837278106508899</v>
      </c>
      <c r="J196" s="190">
        <v>2.1670811760355</v>
      </c>
      <c r="K196" s="191">
        <v>0.751486034164358</v>
      </c>
      <c r="L196" s="188"/>
      <c r="M196" s="171" t="s">
        <v>26</v>
      </c>
      <c r="N196" s="208">
        <v>223.59375</v>
      </c>
      <c r="O196" s="208">
        <v>899.72307692307697</v>
      </c>
      <c r="P196" s="208">
        <v>676.12932692307697</v>
      </c>
      <c r="Q196" s="191">
        <v>0.751486034164358</v>
      </c>
    </row>
    <row r="197" spans="1:17" ht="18">
      <c r="A197" s="171" t="s">
        <v>27</v>
      </c>
      <c r="B197" s="208">
        <v>1.11965811965812E-2</v>
      </c>
      <c r="C197" s="208">
        <v>5.5982905982905999E-2</v>
      </c>
      <c r="D197" s="208">
        <v>4.4786324786324799E-2</v>
      </c>
      <c r="E197" s="191">
        <v>0.8</v>
      </c>
      <c r="F197" s="193"/>
      <c r="G197" s="171" t="s">
        <v>27</v>
      </c>
      <c r="H197" s="190">
        <v>1.5115384615384599</v>
      </c>
      <c r="I197" s="190">
        <v>7.5576923076923102</v>
      </c>
      <c r="J197" s="190">
        <v>6.0461538461538504</v>
      </c>
      <c r="K197" s="191">
        <v>0.8</v>
      </c>
      <c r="L197" s="188"/>
      <c r="M197" s="171" t="s">
        <v>27</v>
      </c>
      <c r="N197" s="208">
        <v>471.6</v>
      </c>
      <c r="O197" s="208">
        <v>2358</v>
      </c>
      <c r="P197" s="208">
        <v>1886.4</v>
      </c>
      <c r="Q197" s="191">
        <v>0.8</v>
      </c>
    </row>
    <row r="198" spans="1:17" ht="18">
      <c r="A198" s="164" t="s">
        <v>28</v>
      </c>
      <c r="B198" s="209">
        <v>292.51304459050402</v>
      </c>
      <c r="C198" s="209">
        <v>375.93271943865699</v>
      </c>
      <c r="D198" s="209">
        <v>83.419674848152894</v>
      </c>
      <c r="E198" s="212">
        <v>0.221900543726854</v>
      </c>
      <c r="F198" s="193"/>
      <c r="G198" s="164" t="s">
        <v>28</v>
      </c>
      <c r="H198" s="209">
        <v>39489.261019718098</v>
      </c>
      <c r="I198" s="209">
        <v>50750.917124218802</v>
      </c>
      <c r="J198" s="209">
        <v>11261.6561045006</v>
      </c>
      <c r="K198" s="212">
        <v>0.221900543726854</v>
      </c>
      <c r="L198" s="188"/>
      <c r="M198" s="164" t="s">
        <v>28</v>
      </c>
      <c r="N198" s="209">
        <v>12320649.438152</v>
      </c>
      <c r="O198" s="209">
        <v>15834286.142756199</v>
      </c>
      <c r="P198" s="209">
        <v>3513636.7046042001</v>
      </c>
      <c r="Q198" s="212">
        <v>0.221900543726854</v>
      </c>
    </row>
    <row r="199" spans="1:17" ht="18">
      <c r="A199" s="206"/>
      <c r="B199" s="206"/>
      <c r="C199" s="206"/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</row>
    <row r="200" spans="1:17" ht="18">
      <c r="A200" s="193"/>
      <c r="B200" s="193"/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</row>
    <row r="201" spans="1:17" ht="18">
      <c r="A201" s="178" t="s">
        <v>48</v>
      </c>
      <c r="B201" s="166" t="s">
        <v>8</v>
      </c>
      <c r="C201" s="166" t="s">
        <v>9</v>
      </c>
      <c r="D201" s="178"/>
      <c r="E201" s="188"/>
      <c r="F201" s="188"/>
      <c r="G201" s="178" t="s">
        <v>48</v>
      </c>
      <c r="H201" s="166" t="s">
        <v>8</v>
      </c>
      <c r="I201" s="166" t="s">
        <v>9</v>
      </c>
      <c r="J201" s="188"/>
      <c r="K201" s="188"/>
      <c r="L201" s="188"/>
      <c r="M201" s="178" t="s">
        <v>48</v>
      </c>
      <c r="N201" s="166" t="s">
        <v>8</v>
      </c>
      <c r="O201" s="166" t="s">
        <v>9</v>
      </c>
      <c r="P201" s="188"/>
      <c r="Q201" s="193"/>
    </row>
    <row r="202" spans="1:17" ht="18">
      <c r="A202" s="200" t="s">
        <v>10</v>
      </c>
      <c r="B202" s="189">
        <v>150</v>
      </c>
      <c r="C202" s="189">
        <v>150</v>
      </c>
      <c r="D202" s="188"/>
      <c r="E202" s="201" t="s">
        <v>34</v>
      </c>
      <c r="F202" s="188"/>
      <c r="G202" s="200" t="s">
        <v>10</v>
      </c>
      <c r="H202" s="189">
        <v>150</v>
      </c>
      <c r="I202" s="189">
        <v>150</v>
      </c>
      <c r="J202" s="188"/>
      <c r="K202" s="201" t="s">
        <v>34</v>
      </c>
      <c r="L202" s="188"/>
      <c r="M202" s="200" t="s">
        <v>10</v>
      </c>
      <c r="N202" s="189">
        <v>150</v>
      </c>
      <c r="O202" s="189">
        <v>150</v>
      </c>
      <c r="P202" s="188"/>
      <c r="Q202" s="201" t="s">
        <v>34</v>
      </c>
    </row>
    <row r="203" spans="1:17" ht="18">
      <c r="A203" s="165" t="s">
        <v>11</v>
      </c>
      <c r="B203" s="164" t="s">
        <v>12</v>
      </c>
      <c r="C203" s="164" t="s">
        <v>13</v>
      </c>
      <c r="D203" s="164" t="s">
        <v>14</v>
      </c>
      <c r="E203" s="164" t="s">
        <v>15</v>
      </c>
      <c r="F203" s="193"/>
      <c r="G203" s="165" t="s">
        <v>11</v>
      </c>
      <c r="H203" s="164" t="s">
        <v>16</v>
      </c>
      <c r="I203" s="164" t="s">
        <v>17</v>
      </c>
      <c r="J203" s="164" t="s">
        <v>18</v>
      </c>
      <c r="K203" s="164" t="s">
        <v>15</v>
      </c>
      <c r="L203" s="188"/>
      <c r="M203" s="165" t="s">
        <v>11</v>
      </c>
      <c r="N203" s="164" t="s">
        <v>19</v>
      </c>
      <c r="O203" s="164" t="s">
        <v>20</v>
      </c>
      <c r="P203" s="164" t="s">
        <v>21</v>
      </c>
      <c r="Q203" s="164" t="s">
        <v>15</v>
      </c>
    </row>
    <row r="204" spans="1:17" ht="18">
      <c r="A204" s="168" t="s">
        <v>22</v>
      </c>
      <c r="B204" s="190">
        <v>18.024394586894601</v>
      </c>
      <c r="C204" s="190">
        <v>37.813165364583298</v>
      </c>
      <c r="D204" s="190">
        <v>19.788770777688701</v>
      </c>
      <c r="E204" s="191">
        <v>0.52333018373075302</v>
      </c>
      <c r="F204" s="193"/>
      <c r="G204" s="168" t="s">
        <v>22</v>
      </c>
      <c r="H204" s="190">
        <v>2703.6591880341898</v>
      </c>
      <c r="I204" s="190">
        <v>5671.9748046875002</v>
      </c>
      <c r="J204" s="190">
        <v>2968.3156166533099</v>
      </c>
      <c r="K204" s="191">
        <v>0.52333018373075302</v>
      </c>
      <c r="L204" s="188"/>
      <c r="M204" s="168" t="s">
        <v>22</v>
      </c>
      <c r="N204" s="190">
        <v>843541.66666666698</v>
      </c>
      <c r="O204" s="190">
        <v>1769656.1390625001</v>
      </c>
      <c r="P204" s="190">
        <v>926114.472395833</v>
      </c>
      <c r="Q204" s="191">
        <v>0.52333018373075302</v>
      </c>
    </row>
    <row r="205" spans="1:17" ht="18">
      <c r="A205" s="168" t="s">
        <v>23</v>
      </c>
      <c r="B205" s="190">
        <v>38.788461538461497</v>
      </c>
      <c r="C205" s="190">
        <v>39.091880341880298</v>
      </c>
      <c r="D205" s="190">
        <v>0.303418803418815</v>
      </c>
      <c r="E205" s="191">
        <v>7.7616835200877404E-3</v>
      </c>
      <c r="F205" s="193"/>
      <c r="G205" s="168" t="s">
        <v>23</v>
      </c>
      <c r="H205" s="190">
        <v>5818.2692307692296</v>
      </c>
      <c r="I205" s="190">
        <v>5863.7820512820499</v>
      </c>
      <c r="J205" s="190">
        <v>45.5128205128212</v>
      </c>
      <c r="K205" s="191">
        <v>7.7616835200875799E-3</v>
      </c>
      <c r="L205" s="188"/>
      <c r="M205" s="168" t="s">
        <v>23</v>
      </c>
      <c r="N205" s="190">
        <v>1815300</v>
      </c>
      <c r="O205" s="190">
        <v>1829500</v>
      </c>
      <c r="P205" s="190">
        <v>14200</v>
      </c>
      <c r="Q205" s="191">
        <v>7.7616835200874602E-3</v>
      </c>
    </row>
    <row r="206" spans="1:17" ht="18">
      <c r="A206" s="168" t="s">
        <v>24</v>
      </c>
      <c r="B206" s="190">
        <v>233.94427549401701</v>
      </c>
      <c r="C206" s="190">
        <v>296.94835749287802</v>
      </c>
      <c r="D206" s="190">
        <v>63.0040819988604</v>
      </c>
      <c r="E206" s="191">
        <v>0.212171848771286</v>
      </c>
      <c r="F206" s="193"/>
      <c r="G206" s="168" t="s">
        <v>24</v>
      </c>
      <c r="H206" s="190">
        <v>35091.641324102602</v>
      </c>
      <c r="I206" s="190">
        <v>44542.253623931603</v>
      </c>
      <c r="J206" s="190">
        <v>9450.6122998290593</v>
      </c>
      <c r="K206" s="191">
        <v>0.212171848771285</v>
      </c>
      <c r="L206" s="188"/>
      <c r="M206" s="168" t="s">
        <v>24</v>
      </c>
      <c r="N206" s="190">
        <v>10948592.093119999</v>
      </c>
      <c r="O206" s="190">
        <v>13897183.130666699</v>
      </c>
      <c r="P206" s="190">
        <v>2948591.0375466701</v>
      </c>
      <c r="Q206" s="191">
        <v>0.212171848771285</v>
      </c>
    </row>
    <row r="207" spans="1:17" ht="18">
      <c r="A207" s="171" t="s">
        <v>25</v>
      </c>
      <c r="B207" s="208">
        <v>0.67492603550295904</v>
      </c>
      <c r="C207" s="208">
        <v>2.0019723865877701</v>
      </c>
      <c r="D207" s="208">
        <v>1.3270463510848101</v>
      </c>
      <c r="E207" s="191">
        <v>0.66286945812807896</v>
      </c>
      <c r="F207" s="193"/>
      <c r="G207" s="171" t="s">
        <v>25</v>
      </c>
      <c r="H207" s="190">
        <v>101.23890532544399</v>
      </c>
      <c r="I207" s="190">
        <v>300.29585798816601</v>
      </c>
      <c r="J207" s="190">
        <v>199.05695266272201</v>
      </c>
      <c r="K207" s="191">
        <v>0.66286945812807896</v>
      </c>
      <c r="L207" s="188"/>
      <c r="M207" s="171" t="s">
        <v>25</v>
      </c>
      <c r="N207" s="208">
        <v>31586.538461538501</v>
      </c>
      <c r="O207" s="208">
        <v>93692.307692307702</v>
      </c>
      <c r="P207" s="208">
        <v>62105.769230769198</v>
      </c>
      <c r="Q207" s="191">
        <v>0.66286945812807896</v>
      </c>
    </row>
    <row r="208" spans="1:17" ht="18">
      <c r="A208" s="171" t="s">
        <v>26</v>
      </c>
      <c r="B208" s="208">
        <v>5.30849358974359E-3</v>
      </c>
      <c r="C208" s="208">
        <v>2.13609467455621E-2</v>
      </c>
      <c r="D208" s="208">
        <v>1.6052453155818502E-2</v>
      </c>
      <c r="E208" s="191">
        <v>0.751486034164358</v>
      </c>
      <c r="F208" s="193"/>
      <c r="G208" s="171" t="s">
        <v>26</v>
      </c>
      <c r="H208" s="190">
        <v>0.79627403846153899</v>
      </c>
      <c r="I208" s="190">
        <v>3.2041420118343198</v>
      </c>
      <c r="J208" s="190">
        <v>2.4078679733727801</v>
      </c>
      <c r="K208" s="191">
        <v>0.751486034164358</v>
      </c>
      <c r="L208" s="188"/>
      <c r="M208" s="171" t="s">
        <v>26</v>
      </c>
      <c r="N208" s="208">
        <v>248.4375</v>
      </c>
      <c r="O208" s="208">
        <v>999.69230769230796</v>
      </c>
      <c r="P208" s="208">
        <v>751.25480769230796</v>
      </c>
      <c r="Q208" s="191">
        <v>0.751486034164358</v>
      </c>
    </row>
    <row r="209" spans="1:17" ht="18">
      <c r="A209" s="171" t="s">
        <v>27</v>
      </c>
      <c r="B209" s="208">
        <v>1.00769230769231E-2</v>
      </c>
      <c r="C209" s="208">
        <v>5.0384615384615403E-2</v>
      </c>
      <c r="D209" s="208">
        <v>4.0307692307692301E-2</v>
      </c>
      <c r="E209" s="191">
        <v>0.8</v>
      </c>
      <c r="F209" s="193"/>
      <c r="G209" s="171" t="s">
        <v>27</v>
      </c>
      <c r="H209" s="190">
        <v>1.5115384615384599</v>
      </c>
      <c r="I209" s="190">
        <v>7.5576923076923102</v>
      </c>
      <c r="J209" s="190">
        <v>6.0461538461538504</v>
      </c>
      <c r="K209" s="191">
        <v>0.8</v>
      </c>
      <c r="L209" s="188"/>
      <c r="M209" s="171" t="s">
        <v>27</v>
      </c>
      <c r="N209" s="208">
        <v>471.6</v>
      </c>
      <c r="O209" s="208">
        <v>2358</v>
      </c>
      <c r="P209" s="208">
        <v>1886.4</v>
      </c>
      <c r="Q209" s="191">
        <v>0.8</v>
      </c>
    </row>
    <row r="210" spans="1:17" ht="18">
      <c r="A210" s="164" t="s">
        <v>28</v>
      </c>
      <c r="B210" s="209">
        <v>291.44744307154298</v>
      </c>
      <c r="C210" s="209">
        <v>375.92712114805897</v>
      </c>
      <c r="D210" s="209">
        <v>84.479678076516294</v>
      </c>
      <c r="E210" s="212">
        <v>0.22472355231652499</v>
      </c>
      <c r="F210" s="193"/>
      <c r="G210" s="164" t="s">
        <v>28</v>
      </c>
      <c r="H210" s="209">
        <v>43717.116460731399</v>
      </c>
      <c r="I210" s="209">
        <v>56389.068172208899</v>
      </c>
      <c r="J210" s="209">
        <v>12671.951711477401</v>
      </c>
      <c r="K210" s="212">
        <v>0.22472355231652399</v>
      </c>
      <c r="L210" s="188"/>
      <c r="M210" s="164" t="s">
        <v>28</v>
      </c>
      <c r="N210" s="209">
        <v>13639740.335748199</v>
      </c>
      <c r="O210" s="209">
        <v>17593389.269729201</v>
      </c>
      <c r="P210" s="209">
        <v>3953648.9339809599</v>
      </c>
      <c r="Q210" s="212">
        <v>0.22472355231652399</v>
      </c>
    </row>
    <row r="211" spans="1:17" ht="18">
      <c r="A211" s="206"/>
      <c r="B211" s="206"/>
      <c r="C211" s="206"/>
      <c r="D211" s="206"/>
      <c r="E211" s="206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</row>
    <row r="214" spans="1:17" ht="18">
      <c r="A214" s="202"/>
      <c r="B214" s="202"/>
      <c r="C214" s="202"/>
      <c r="D214" s="202"/>
      <c r="E214" s="202"/>
      <c r="F214" s="202"/>
      <c r="G214" s="202"/>
      <c r="H214" s="202"/>
      <c r="I214" s="202"/>
      <c r="J214" s="202"/>
      <c r="K214" s="202"/>
      <c r="L214" s="202"/>
      <c r="M214" s="202"/>
      <c r="N214" s="202"/>
      <c r="O214" s="202"/>
      <c r="P214" s="202"/>
      <c r="Q214" s="202"/>
    </row>
    <row r="215" spans="1:17" s="163" customFormat="1" ht="18">
      <c r="A215" s="166" t="s">
        <v>5</v>
      </c>
    </row>
    <row r="216" spans="1:17" s="163" customFormat="1" ht="18">
      <c r="A216" s="166" t="s">
        <v>31</v>
      </c>
      <c r="B216" s="166" t="s">
        <v>8</v>
      </c>
      <c r="C216" s="166" t="s">
        <v>9</v>
      </c>
      <c r="D216" s="177"/>
      <c r="E216" s="177"/>
      <c r="F216" s="177"/>
      <c r="G216" s="166" t="s">
        <v>31</v>
      </c>
      <c r="H216" s="166" t="s">
        <v>8</v>
      </c>
      <c r="I216" s="166" t="s">
        <v>9</v>
      </c>
      <c r="J216" s="177"/>
      <c r="K216" s="177"/>
      <c r="L216" s="177"/>
      <c r="M216" s="166" t="s">
        <v>31</v>
      </c>
      <c r="N216" s="166" t="s">
        <v>8</v>
      </c>
      <c r="O216" s="166" t="s">
        <v>9</v>
      </c>
      <c r="P216" s="177"/>
    </row>
    <row r="217" spans="1:17" s="163" customFormat="1" ht="18">
      <c r="A217" s="172" t="s">
        <v>10</v>
      </c>
      <c r="B217" s="195">
        <v>10</v>
      </c>
      <c r="C217" s="195">
        <v>10</v>
      </c>
      <c r="D217" s="177"/>
      <c r="E217" s="210" t="s">
        <v>32</v>
      </c>
      <c r="F217" s="177"/>
      <c r="G217" s="172" t="s">
        <v>10</v>
      </c>
      <c r="H217" s="195">
        <v>10</v>
      </c>
      <c r="I217" s="195">
        <v>10</v>
      </c>
      <c r="J217" s="177"/>
      <c r="K217" s="210" t="s">
        <v>32</v>
      </c>
      <c r="L217" s="177"/>
      <c r="M217" s="172" t="s">
        <v>10</v>
      </c>
      <c r="N217" s="195">
        <v>10</v>
      </c>
      <c r="O217" s="195">
        <v>10</v>
      </c>
      <c r="P217" s="177"/>
      <c r="Q217" s="210" t="s">
        <v>32</v>
      </c>
    </row>
    <row r="218" spans="1:17" s="163" customFormat="1" ht="18">
      <c r="A218" s="165" t="s">
        <v>11</v>
      </c>
      <c r="B218" s="164" t="s">
        <v>12</v>
      </c>
      <c r="C218" s="164" t="s">
        <v>13</v>
      </c>
      <c r="D218" s="164" t="s">
        <v>14</v>
      </c>
      <c r="E218" s="164" t="s">
        <v>15</v>
      </c>
      <c r="G218" s="165" t="s">
        <v>11</v>
      </c>
      <c r="H218" s="164" t="s">
        <v>16</v>
      </c>
      <c r="I218" s="164" t="s">
        <v>17</v>
      </c>
      <c r="J218" s="164" t="s">
        <v>18</v>
      </c>
      <c r="K218" s="164" t="s">
        <v>15</v>
      </c>
      <c r="L218" s="177"/>
      <c r="M218" s="165" t="s">
        <v>11</v>
      </c>
      <c r="N218" s="164" t="s">
        <v>19</v>
      </c>
      <c r="O218" s="164" t="s">
        <v>20</v>
      </c>
      <c r="P218" s="164" t="s">
        <v>21</v>
      </c>
      <c r="Q218" s="164" t="s">
        <v>15</v>
      </c>
    </row>
    <row r="219" spans="1:17" s="163" customFormat="1" ht="18">
      <c r="A219" s="168" t="s">
        <v>22</v>
      </c>
      <c r="B219" s="196">
        <v>18.709935897435901</v>
      </c>
      <c r="C219" s="196">
        <v>37.813165364583298</v>
      </c>
      <c r="D219" s="196">
        <v>19.103229467147401</v>
      </c>
      <c r="E219" s="197">
        <v>0.50520048461851197</v>
      </c>
      <c r="G219" s="168" t="s">
        <v>22</v>
      </c>
      <c r="H219" s="196">
        <v>187.09935897435901</v>
      </c>
      <c r="I219" s="196">
        <v>378.13165364583301</v>
      </c>
      <c r="J219" s="196">
        <v>191.03229467147401</v>
      </c>
      <c r="K219" s="197">
        <v>0.50520048461851197</v>
      </c>
      <c r="L219" s="177"/>
      <c r="M219" s="168" t="s">
        <v>22</v>
      </c>
      <c r="N219" s="196">
        <v>58375</v>
      </c>
      <c r="O219" s="196">
        <v>117977.07593750001</v>
      </c>
      <c r="P219" s="196">
        <v>59602.075937499998</v>
      </c>
      <c r="Q219" s="197">
        <v>0.50520048461851197</v>
      </c>
    </row>
    <row r="220" spans="1:17" s="163" customFormat="1" ht="18">
      <c r="A220" s="168" t="s">
        <v>23</v>
      </c>
      <c r="B220" s="196">
        <v>134.84455128205099</v>
      </c>
      <c r="C220" s="196">
        <v>44.492521367521398</v>
      </c>
      <c r="D220" s="196">
        <v>-90.352029914529894</v>
      </c>
      <c r="E220" s="197">
        <v>-2.03072397646776</v>
      </c>
      <c r="G220" s="168" t="s">
        <v>23</v>
      </c>
      <c r="H220" s="196">
        <v>1348.44551282051</v>
      </c>
      <c r="I220" s="196">
        <v>444.92521367521402</v>
      </c>
      <c r="J220" s="196">
        <v>-903.52029914529896</v>
      </c>
      <c r="K220" s="197">
        <v>-2.03072397646776</v>
      </c>
      <c r="L220" s="177"/>
      <c r="M220" s="168" t="s">
        <v>23</v>
      </c>
      <c r="N220" s="196">
        <v>420715</v>
      </c>
      <c r="O220" s="196">
        <v>138816.66666666701</v>
      </c>
      <c r="P220" s="196">
        <v>-281898.33333333302</v>
      </c>
      <c r="Q220" s="197">
        <v>-2.03072397646776</v>
      </c>
    </row>
    <row r="221" spans="1:17" s="163" customFormat="1" ht="18">
      <c r="A221" s="168" t="s">
        <v>24</v>
      </c>
      <c r="B221" s="196">
        <v>261.09712386324799</v>
      </c>
      <c r="C221" s="196">
        <v>276.03169082621099</v>
      </c>
      <c r="D221" s="196">
        <v>14.934566962963</v>
      </c>
      <c r="E221" s="197">
        <v>5.41045374835811E-2</v>
      </c>
      <c r="G221" s="168" t="s">
        <v>24</v>
      </c>
      <c r="H221" s="196">
        <v>2610.97123863248</v>
      </c>
      <c r="I221" s="196">
        <v>2760.3169082621098</v>
      </c>
      <c r="J221" s="196">
        <v>149.34566962962899</v>
      </c>
      <c r="K221" s="197">
        <v>5.4104537483580899E-2</v>
      </c>
      <c r="L221" s="177"/>
      <c r="M221" s="168" t="s">
        <v>24</v>
      </c>
      <c r="N221" s="196">
        <v>814623.02645333298</v>
      </c>
      <c r="O221" s="196">
        <v>861218.87537777796</v>
      </c>
      <c r="P221" s="196">
        <v>46595.848924444501</v>
      </c>
      <c r="Q221" s="197">
        <v>5.41045374835811E-2</v>
      </c>
    </row>
    <row r="222" spans="1:17" s="163" customFormat="1" ht="18">
      <c r="A222" s="171" t="s">
        <v>25</v>
      </c>
      <c r="B222" s="204">
        <v>0.67492603550295904</v>
      </c>
      <c r="C222" s="204">
        <v>2.0019723865877701</v>
      </c>
      <c r="D222" s="204">
        <v>1.3270463510848101</v>
      </c>
      <c r="E222" s="197">
        <v>0.66286945812807896</v>
      </c>
      <c r="G222" s="171" t="s">
        <v>25</v>
      </c>
      <c r="H222" s="196">
        <v>6.7492603550295902</v>
      </c>
      <c r="I222" s="196">
        <v>20.019723865877701</v>
      </c>
      <c r="J222" s="196">
        <v>13.270463510848099</v>
      </c>
      <c r="K222" s="197">
        <v>0.66286945812807896</v>
      </c>
      <c r="L222" s="177"/>
      <c r="M222" s="171" t="s">
        <v>25</v>
      </c>
      <c r="N222" s="204">
        <v>2105.76923076923</v>
      </c>
      <c r="O222" s="204">
        <v>6246.1538461538503</v>
      </c>
      <c r="P222" s="204">
        <v>4140.3846153846198</v>
      </c>
      <c r="Q222" s="197">
        <v>0.66286945812807896</v>
      </c>
    </row>
    <row r="223" spans="1:17" s="163" customFormat="1" ht="18">
      <c r="A223" s="171" t="s">
        <v>26</v>
      </c>
      <c r="B223" s="204">
        <v>5.30849358974359E-3</v>
      </c>
      <c r="C223" s="204">
        <v>2.13609467455621E-2</v>
      </c>
      <c r="D223" s="204">
        <v>1.6052453155818502E-2</v>
      </c>
      <c r="E223" s="197">
        <v>0.751486034164358</v>
      </c>
      <c r="G223" s="171" t="s">
        <v>26</v>
      </c>
      <c r="H223" s="196">
        <v>5.3084935897435903E-2</v>
      </c>
      <c r="I223" s="196">
        <v>0.21360946745562101</v>
      </c>
      <c r="J223" s="196">
        <v>0.160524531558185</v>
      </c>
      <c r="K223" s="197">
        <v>0.751486034164358</v>
      </c>
      <c r="L223" s="177"/>
      <c r="M223" s="171" t="s">
        <v>26</v>
      </c>
      <c r="N223" s="204">
        <v>16.5625</v>
      </c>
      <c r="O223" s="204">
        <v>66.646153846153794</v>
      </c>
      <c r="P223" s="204">
        <v>50.083653846153801</v>
      </c>
      <c r="Q223" s="197">
        <v>0.751486034164358</v>
      </c>
    </row>
    <row r="224" spans="1:17" s="163" customFormat="1" ht="18">
      <c r="A224" s="171" t="s">
        <v>27</v>
      </c>
      <c r="B224" s="204">
        <v>0.151153846153846</v>
      </c>
      <c r="C224" s="204">
        <v>0.75576923076923097</v>
      </c>
      <c r="D224" s="204">
        <v>0.604615384615385</v>
      </c>
      <c r="E224" s="197">
        <v>0.8</v>
      </c>
      <c r="G224" s="171" t="s">
        <v>27</v>
      </c>
      <c r="H224" s="196">
        <v>1.5115384615384599</v>
      </c>
      <c r="I224" s="196">
        <v>7.5576923076923102</v>
      </c>
      <c r="J224" s="196">
        <v>6.0461538461538504</v>
      </c>
      <c r="K224" s="197">
        <v>0.8</v>
      </c>
      <c r="L224" s="177"/>
      <c r="M224" s="171" t="s">
        <v>27</v>
      </c>
      <c r="N224" s="204">
        <v>471.6</v>
      </c>
      <c r="O224" s="204">
        <v>2358</v>
      </c>
      <c r="P224" s="204">
        <v>1886.4</v>
      </c>
      <c r="Q224" s="197">
        <v>0.8</v>
      </c>
    </row>
    <row r="225" spans="1:17" s="172" customFormat="1" ht="18">
      <c r="A225" s="164" t="s">
        <v>28</v>
      </c>
      <c r="B225" s="205">
        <v>415.48299941798098</v>
      </c>
      <c r="C225" s="205">
        <v>361.11648012241801</v>
      </c>
      <c r="D225" s="205">
        <v>-54.366519295563499</v>
      </c>
      <c r="E225" s="211">
        <v>-0.150551199649302</v>
      </c>
      <c r="F225" s="163"/>
      <c r="G225" s="164" t="s">
        <v>28</v>
      </c>
      <c r="H225" s="205">
        <v>4154.8299941798196</v>
      </c>
      <c r="I225" s="205">
        <v>3611.1648012241799</v>
      </c>
      <c r="J225" s="205">
        <v>-543.66519295563501</v>
      </c>
      <c r="K225" s="211">
        <v>-0.150551199649303</v>
      </c>
      <c r="L225" s="177"/>
      <c r="M225" s="164" t="s">
        <v>28</v>
      </c>
      <c r="N225" s="205">
        <v>1296306.9581841</v>
      </c>
      <c r="O225" s="205">
        <v>1126683.4179819401</v>
      </c>
      <c r="P225" s="205">
        <v>-169623.54020215801</v>
      </c>
      <c r="Q225" s="211">
        <v>-0.150551199649302</v>
      </c>
    </row>
    <row r="226" spans="1:17" s="163" customFormat="1" ht="18" hidden="1">
      <c r="A226" s="213" t="s">
        <v>29</v>
      </c>
      <c r="B226" s="214">
        <v>414.651611042735</v>
      </c>
      <c r="C226" s="214">
        <v>358.33737755831498</v>
      </c>
      <c r="D226" s="214">
        <v>-56.314233484419503</v>
      </c>
      <c r="E226" s="197">
        <v>-0.15715422674614801</v>
      </c>
      <c r="G226" s="213" t="s">
        <v>29</v>
      </c>
      <c r="H226" s="214">
        <v>4146.5161104273502</v>
      </c>
      <c r="I226" s="214">
        <v>3705.0276217370001</v>
      </c>
      <c r="J226" s="214">
        <v>-441.48848869034902</v>
      </c>
      <c r="K226" s="197">
        <v>-0.119159297517833</v>
      </c>
      <c r="L226" s="177"/>
      <c r="M226" s="213" t="s">
        <v>29</v>
      </c>
      <c r="N226" s="214">
        <v>1293713.0264533299</v>
      </c>
      <c r="O226" s="214">
        <v>1092019.6766598299</v>
      </c>
      <c r="P226" s="214">
        <v>-201693.34979350399</v>
      </c>
      <c r="Q226" s="197">
        <v>-0.18469754172417999</v>
      </c>
    </row>
    <row r="227" spans="1:17" s="163" customFormat="1" ht="18" hidden="1">
      <c r="A227" s="213" t="s">
        <v>30</v>
      </c>
      <c r="B227" s="214">
        <v>0.83138837524654896</v>
      </c>
      <c r="C227" s="214">
        <v>2.7791025641025602</v>
      </c>
      <c r="D227" s="214">
        <v>1.9477141888560201</v>
      </c>
      <c r="E227" s="197">
        <v>0.70084285985500405</v>
      </c>
      <c r="G227" s="213" t="s">
        <v>30</v>
      </c>
      <c r="H227" s="214">
        <v>8.3138837524654807</v>
      </c>
      <c r="I227" s="214">
        <v>27.791025641025598</v>
      </c>
      <c r="J227" s="214">
        <v>19.477141888560201</v>
      </c>
      <c r="K227" s="197">
        <v>0.70084285985500405</v>
      </c>
      <c r="L227" s="177"/>
      <c r="M227" s="213" t="s">
        <v>30</v>
      </c>
      <c r="N227" s="214">
        <v>2593.9317307692299</v>
      </c>
      <c r="O227" s="214">
        <v>8670.7999999999993</v>
      </c>
      <c r="P227" s="214">
        <v>1936.48365384615</v>
      </c>
      <c r="Q227" s="197">
        <v>0.22333390850280899</v>
      </c>
    </row>
    <row r="228" spans="1:17" s="163" customFormat="1" ht="18">
      <c r="A228" s="215"/>
      <c r="B228" s="215"/>
      <c r="C228" s="215"/>
      <c r="D228" s="215"/>
      <c r="E228" s="215"/>
      <c r="F228" s="215"/>
      <c r="G228" s="215"/>
      <c r="H228" s="215"/>
      <c r="I228" s="215"/>
      <c r="J228" s="215"/>
      <c r="K228" s="215"/>
      <c r="L228" s="215"/>
      <c r="M228" s="215"/>
      <c r="N228" s="215"/>
      <c r="O228" s="215"/>
      <c r="P228" s="215"/>
      <c r="Q228" s="215"/>
    </row>
    <row r="229" spans="1:17" s="163" customFormat="1" ht="18">
      <c r="A229" s="166"/>
    </row>
    <row r="230" spans="1:17" s="163" customFormat="1" ht="18">
      <c r="A230" s="166" t="s">
        <v>33</v>
      </c>
      <c r="B230" s="166" t="s">
        <v>8</v>
      </c>
      <c r="C230" s="166" t="s">
        <v>9</v>
      </c>
      <c r="D230" s="177"/>
      <c r="E230" s="177"/>
      <c r="F230" s="177"/>
      <c r="G230" s="166" t="s">
        <v>33</v>
      </c>
      <c r="H230" s="166" t="s">
        <v>8</v>
      </c>
      <c r="I230" s="166" t="s">
        <v>9</v>
      </c>
      <c r="J230" s="177"/>
      <c r="K230" s="177"/>
      <c r="L230" s="177"/>
      <c r="M230" s="166" t="s">
        <v>33</v>
      </c>
      <c r="N230" s="166" t="s">
        <v>8</v>
      </c>
      <c r="O230" s="166" t="s">
        <v>9</v>
      </c>
      <c r="P230" s="177"/>
    </row>
    <row r="231" spans="1:17" s="163" customFormat="1" ht="18">
      <c r="A231" s="172" t="s">
        <v>10</v>
      </c>
      <c r="B231" s="195">
        <v>12</v>
      </c>
      <c r="C231" s="195">
        <v>12</v>
      </c>
      <c r="D231" s="177"/>
      <c r="E231" s="210" t="s">
        <v>32</v>
      </c>
      <c r="F231" s="177"/>
      <c r="G231" s="172" t="s">
        <v>10</v>
      </c>
      <c r="H231" s="195">
        <v>12</v>
      </c>
      <c r="I231" s="195">
        <v>12</v>
      </c>
      <c r="J231" s="177"/>
      <c r="K231" s="210" t="s">
        <v>32</v>
      </c>
      <c r="L231" s="177"/>
      <c r="M231" s="172" t="s">
        <v>10</v>
      </c>
      <c r="N231" s="195">
        <v>12</v>
      </c>
      <c r="O231" s="195">
        <v>12</v>
      </c>
      <c r="P231" s="177"/>
      <c r="Q231" s="210" t="s">
        <v>32</v>
      </c>
    </row>
    <row r="232" spans="1:17" s="163" customFormat="1" ht="18">
      <c r="A232" s="165" t="s">
        <v>11</v>
      </c>
      <c r="B232" s="164" t="s">
        <v>12</v>
      </c>
      <c r="C232" s="164" t="s">
        <v>13</v>
      </c>
      <c r="D232" s="164" t="s">
        <v>14</v>
      </c>
      <c r="E232" s="164" t="s">
        <v>15</v>
      </c>
      <c r="G232" s="165" t="s">
        <v>11</v>
      </c>
      <c r="H232" s="164" t="s">
        <v>16</v>
      </c>
      <c r="I232" s="164" t="s">
        <v>17</v>
      </c>
      <c r="J232" s="164" t="s">
        <v>18</v>
      </c>
      <c r="K232" s="164" t="s">
        <v>15</v>
      </c>
      <c r="L232" s="177"/>
      <c r="M232" s="165" t="s">
        <v>11</v>
      </c>
      <c r="N232" s="164" t="s">
        <v>19</v>
      </c>
      <c r="O232" s="164" t="s">
        <v>20</v>
      </c>
      <c r="P232" s="164" t="s">
        <v>21</v>
      </c>
      <c r="Q232" s="164" t="s">
        <v>15</v>
      </c>
    </row>
    <row r="233" spans="1:17" s="163" customFormat="1" ht="18">
      <c r="A233" s="168" t="s">
        <v>22</v>
      </c>
      <c r="B233" s="196">
        <v>18.587517806267801</v>
      </c>
      <c r="C233" s="196">
        <v>37.813165364583298</v>
      </c>
      <c r="D233" s="196">
        <v>19.225647558315501</v>
      </c>
      <c r="E233" s="197">
        <v>0.50843793088855505</v>
      </c>
      <c r="G233" s="168" t="s">
        <v>22</v>
      </c>
      <c r="H233" s="196">
        <v>223.050213675214</v>
      </c>
      <c r="I233" s="196">
        <v>453.75798437499998</v>
      </c>
      <c r="J233" s="196">
        <v>230.70777069978601</v>
      </c>
      <c r="K233" s="197">
        <v>0.50843793088855505</v>
      </c>
      <c r="L233" s="177"/>
      <c r="M233" s="168" t="s">
        <v>22</v>
      </c>
      <c r="N233" s="196">
        <v>69591.666666666701</v>
      </c>
      <c r="O233" s="196">
        <v>141572.491125</v>
      </c>
      <c r="P233" s="196">
        <v>71980.8244583333</v>
      </c>
      <c r="Q233" s="197">
        <v>0.50843793088855505</v>
      </c>
    </row>
    <row r="234" spans="1:17" s="163" customFormat="1" ht="18">
      <c r="A234" s="168" t="s">
        <v>23</v>
      </c>
      <c r="B234" s="196">
        <v>120.672542735043</v>
      </c>
      <c r="C234" s="196">
        <v>44.492521367521398</v>
      </c>
      <c r="D234" s="196">
        <v>-76.180021367521405</v>
      </c>
      <c r="E234" s="197">
        <v>-1.71219834313843</v>
      </c>
      <c r="G234" s="168" t="s">
        <v>23</v>
      </c>
      <c r="H234" s="196">
        <v>1448.07051282051</v>
      </c>
      <c r="I234" s="196">
        <v>533.91025641025601</v>
      </c>
      <c r="J234" s="196">
        <v>-914.16025641025601</v>
      </c>
      <c r="K234" s="197">
        <v>-1.71219834313843</v>
      </c>
      <c r="L234" s="177"/>
      <c r="M234" s="168" t="s">
        <v>23</v>
      </c>
      <c r="N234" s="196">
        <v>451798</v>
      </c>
      <c r="O234" s="196">
        <v>166580</v>
      </c>
      <c r="P234" s="196">
        <v>-285218</v>
      </c>
      <c r="Q234" s="197">
        <v>-1.71219834313843</v>
      </c>
    </row>
    <row r="235" spans="1:17" s="163" customFormat="1" ht="18">
      <c r="A235" s="168" t="s">
        <v>24</v>
      </c>
      <c r="B235" s="196">
        <v>255.92788811965801</v>
      </c>
      <c r="C235" s="196">
        <v>276.03169082621099</v>
      </c>
      <c r="D235" s="196">
        <v>20.103802706552699</v>
      </c>
      <c r="E235" s="197">
        <v>7.2831502232147904E-2</v>
      </c>
      <c r="G235" s="168" t="s">
        <v>24</v>
      </c>
      <c r="H235" s="196">
        <v>3071.1346574359</v>
      </c>
      <c r="I235" s="196">
        <v>3312.3802899145298</v>
      </c>
      <c r="J235" s="196">
        <v>241.24563247863301</v>
      </c>
      <c r="K235" s="197">
        <v>7.2831502232147793E-2</v>
      </c>
      <c r="L235" s="177"/>
      <c r="M235" s="168" t="s">
        <v>24</v>
      </c>
      <c r="N235" s="196">
        <v>958194.01312000002</v>
      </c>
      <c r="O235" s="196">
        <v>1033462.65045333</v>
      </c>
      <c r="P235" s="196">
        <v>75268.637333333507</v>
      </c>
      <c r="Q235" s="197">
        <v>7.2831502232148002E-2</v>
      </c>
    </row>
    <row r="236" spans="1:17" s="163" customFormat="1" ht="18">
      <c r="A236" s="171" t="s">
        <v>25</v>
      </c>
      <c r="B236" s="204">
        <v>0.67492603550295904</v>
      </c>
      <c r="C236" s="204">
        <v>2.0019723865877701</v>
      </c>
      <c r="D236" s="204">
        <v>1.3270463510848101</v>
      </c>
      <c r="E236" s="197">
        <v>0.66286945812807896</v>
      </c>
      <c r="G236" s="171" t="s">
        <v>25</v>
      </c>
      <c r="H236" s="196">
        <v>8.0991124260355001</v>
      </c>
      <c r="I236" s="196">
        <v>24.023668639053302</v>
      </c>
      <c r="J236" s="196">
        <v>15.9245562130178</v>
      </c>
      <c r="K236" s="197">
        <v>0.66286945812807896</v>
      </c>
      <c r="L236" s="177"/>
      <c r="M236" s="171" t="s">
        <v>25</v>
      </c>
      <c r="N236" s="204">
        <v>2526.9230769230799</v>
      </c>
      <c r="O236" s="204">
        <v>7495.3846153846198</v>
      </c>
      <c r="P236" s="204">
        <v>4968.4615384615399</v>
      </c>
      <c r="Q236" s="197">
        <v>0.66286945812807896</v>
      </c>
    </row>
    <row r="237" spans="1:17" s="163" customFormat="1" ht="18">
      <c r="A237" s="171" t="s">
        <v>26</v>
      </c>
      <c r="B237" s="204">
        <v>5.30849358974359E-3</v>
      </c>
      <c r="C237" s="204">
        <v>2.13609467455621E-2</v>
      </c>
      <c r="D237" s="204">
        <v>1.6052453155818502E-2</v>
      </c>
      <c r="E237" s="197">
        <v>0.751486034164358</v>
      </c>
      <c r="G237" s="171" t="s">
        <v>26</v>
      </c>
      <c r="H237" s="196">
        <v>6.37019230769231E-2</v>
      </c>
      <c r="I237" s="196">
        <v>0.25633136094674602</v>
      </c>
      <c r="J237" s="196">
        <v>0.19262943786982301</v>
      </c>
      <c r="K237" s="197">
        <v>0.751486034164358</v>
      </c>
      <c r="L237" s="177"/>
      <c r="M237" s="171" t="s">
        <v>26</v>
      </c>
      <c r="N237" s="204">
        <v>19.875</v>
      </c>
      <c r="O237" s="204">
        <v>79.975384615384598</v>
      </c>
      <c r="P237" s="204">
        <v>60.100384615384598</v>
      </c>
      <c r="Q237" s="197">
        <v>0.751486034164358</v>
      </c>
    </row>
    <row r="238" spans="1:17" s="163" customFormat="1" ht="18">
      <c r="A238" s="171" t="s">
        <v>27</v>
      </c>
      <c r="B238" s="204">
        <v>0.12596153846153799</v>
      </c>
      <c r="C238" s="204">
        <v>0.62980769230769196</v>
      </c>
      <c r="D238" s="204">
        <v>0.50384615384615405</v>
      </c>
      <c r="E238" s="197">
        <v>0.8</v>
      </c>
      <c r="G238" s="171" t="s">
        <v>27</v>
      </c>
      <c r="H238" s="196">
        <v>1.5115384615384599</v>
      </c>
      <c r="I238" s="196">
        <v>7.5576923076923102</v>
      </c>
      <c r="J238" s="196">
        <v>6.0461538461538504</v>
      </c>
      <c r="K238" s="197">
        <v>0.8</v>
      </c>
      <c r="L238" s="177"/>
      <c r="M238" s="171" t="s">
        <v>27</v>
      </c>
      <c r="N238" s="204">
        <v>471.6</v>
      </c>
      <c r="O238" s="204">
        <v>2358</v>
      </c>
      <c r="P238" s="204">
        <v>1886.4</v>
      </c>
      <c r="Q238" s="197">
        <v>0.8</v>
      </c>
    </row>
    <row r="239" spans="1:17" s="172" customFormat="1" ht="18">
      <c r="A239" s="164" t="s">
        <v>28</v>
      </c>
      <c r="B239" s="205">
        <v>395.994144728523</v>
      </c>
      <c r="C239" s="205">
        <v>360.990518583957</v>
      </c>
      <c r="D239" s="205">
        <v>-35.003626144566297</v>
      </c>
      <c r="E239" s="211">
        <v>-9.6965500041036198E-2</v>
      </c>
      <c r="F239" s="163"/>
      <c r="G239" s="164" t="s">
        <v>28</v>
      </c>
      <c r="H239" s="205">
        <v>4751.9297367422796</v>
      </c>
      <c r="I239" s="205">
        <v>4331.8862230074801</v>
      </c>
      <c r="J239" s="205">
        <v>-420.04351373479602</v>
      </c>
      <c r="K239" s="211">
        <v>-9.6965500041036198E-2</v>
      </c>
      <c r="L239" s="177"/>
      <c r="M239" s="164" t="s">
        <v>28</v>
      </c>
      <c r="N239" s="205">
        <v>1482602.0778635901</v>
      </c>
      <c r="O239" s="205">
        <v>1351548.5015783301</v>
      </c>
      <c r="P239" s="205">
        <v>-131053.576285256</v>
      </c>
      <c r="Q239" s="211">
        <v>-9.6965500041036198E-2</v>
      </c>
    </row>
    <row r="240" spans="1:17" s="163" customFormat="1" ht="18" hidden="1">
      <c r="A240" s="213" t="s">
        <v>29</v>
      </c>
      <c r="B240" s="214">
        <v>395.18794866096903</v>
      </c>
      <c r="C240" s="214">
        <v>358.33737755831601</v>
      </c>
      <c r="D240" s="214">
        <v>-36.850571102653099</v>
      </c>
      <c r="E240" s="197">
        <v>-0.10283764243002</v>
      </c>
      <c r="G240" s="213" t="s">
        <v>29</v>
      </c>
      <c r="H240" s="214">
        <v>4742.2553839316197</v>
      </c>
      <c r="I240" s="214">
        <v>4446.0331460844</v>
      </c>
      <c r="J240" s="214">
        <v>-296.222237847222</v>
      </c>
      <c r="K240" s="197">
        <v>-6.6626187460636296E-2</v>
      </c>
      <c r="L240" s="177"/>
      <c r="M240" s="213" t="s">
        <v>29</v>
      </c>
      <c r="N240" s="214">
        <v>1479583.67978667</v>
      </c>
      <c r="O240" s="214">
        <v>1310423.6119917999</v>
      </c>
      <c r="P240" s="214">
        <v>-169160.06779487201</v>
      </c>
      <c r="Q240" s="197">
        <v>-0.12908807979868001</v>
      </c>
    </row>
    <row r="241" spans="1:17" s="163" customFormat="1" ht="18" hidden="1">
      <c r="A241" s="213" t="s">
        <v>30</v>
      </c>
      <c r="B241" s="214">
        <v>0.806196067554241</v>
      </c>
      <c r="C241" s="214">
        <v>2.6531410256410299</v>
      </c>
      <c r="D241" s="214">
        <v>1.84694495808679</v>
      </c>
      <c r="E241" s="197">
        <v>0.69613523753059603</v>
      </c>
      <c r="G241" s="213" t="s">
        <v>30</v>
      </c>
      <c r="H241" s="214">
        <v>9.6743528106508894</v>
      </c>
      <c r="I241" s="214">
        <v>31.837692307692301</v>
      </c>
      <c r="J241" s="214">
        <v>22.163339497041399</v>
      </c>
      <c r="K241" s="197">
        <v>0.69613523753059603</v>
      </c>
      <c r="L241" s="177"/>
      <c r="M241" s="213" t="s">
        <v>30</v>
      </c>
      <c r="N241" s="214">
        <v>3018.3980769230802</v>
      </c>
      <c r="O241" s="214">
        <v>9933.36</v>
      </c>
      <c r="P241" s="214">
        <v>1946.50038461538</v>
      </c>
      <c r="Q241" s="197">
        <v>0.19595588850251899</v>
      </c>
    </row>
    <row r="242" spans="1:17" s="163" customFormat="1" ht="18">
      <c r="A242" s="215"/>
      <c r="B242" s="215"/>
      <c r="C242" s="215"/>
      <c r="D242" s="215"/>
      <c r="E242" s="215"/>
      <c r="F242" s="215"/>
      <c r="G242" s="215"/>
      <c r="H242" s="215"/>
      <c r="I242" s="215"/>
      <c r="J242" s="215"/>
      <c r="K242" s="215"/>
      <c r="L242" s="215"/>
      <c r="M242" s="215"/>
      <c r="N242" s="215"/>
      <c r="O242" s="215"/>
      <c r="P242" s="215"/>
      <c r="Q242" s="215"/>
    </row>
    <row r="243" spans="1:17" s="163" customFormat="1" ht="18">
      <c r="A243" s="166"/>
    </row>
    <row r="244" spans="1:17" s="163" customFormat="1" ht="18">
      <c r="A244" s="166" t="s">
        <v>35</v>
      </c>
      <c r="B244" s="166" t="s">
        <v>8</v>
      </c>
      <c r="C244" s="166" t="s">
        <v>9</v>
      </c>
      <c r="D244" s="177"/>
      <c r="E244" s="177"/>
      <c r="F244" s="177"/>
      <c r="G244" s="166" t="s">
        <v>35</v>
      </c>
      <c r="H244" s="166" t="s">
        <v>8</v>
      </c>
      <c r="I244" s="166" t="s">
        <v>9</v>
      </c>
      <c r="J244" s="177"/>
      <c r="K244" s="177"/>
      <c r="L244" s="177"/>
      <c r="M244" s="166" t="s">
        <v>35</v>
      </c>
      <c r="N244" s="166" t="s">
        <v>8</v>
      </c>
      <c r="O244" s="166" t="s">
        <v>9</v>
      </c>
      <c r="P244" s="177"/>
    </row>
    <row r="245" spans="1:17" s="163" customFormat="1" ht="18">
      <c r="A245" s="172" t="s">
        <v>10</v>
      </c>
      <c r="B245" s="195">
        <v>14</v>
      </c>
      <c r="C245" s="195">
        <v>14</v>
      </c>
      <c r="D245" s="177"/>
      <c r="E245" s="210" t="s">
        <v>32</v>
      </c>
      <c r="F245" s="177"/>
      <c r="G245" s="172" t="s">
        <v>10</v>
      </c>
      <c r="H245" s="195">
        <v>14</v>
      </c>
      <c r="I245" s="195">
        <v>14</v>
      </c>
      <c r="J245" s="177"/>
      <c r="K245" s="210" t="s">
        <v>32</v>
      </c>
      <c r="L245" s="177"/>
      <c r="M245" s="172" t="s">
        <v>10</v>
      </c>
      <c r="N245" s="195">
        <v>14</v>
      </c>
      <c r="O245" s="195">
        <v>14</v>
      </c>
      <c r="P245" s="177"/>
      <c r="Q245" s="210" t="s">
        <v>32</v>
      </c>
    </row>
    <row r="246" spans="1:17" s="163" customFormat="1" ht="18">
      <c r="A246" s="165" t="s">
        <v>11</v>
      </c>
      <c r="B246" s="164" t="s">
        <v>12</v>
      </c>
      <c r="C246" s="164" t="s">
        <v>13</v>
      </c>
      <c r="D246" s="164" t="s">
        <v>14</v>
      </c>
      <c r="E246" s="164" t="s">
        <v>15</v>
      </c>
      <c r="G246" s="165" t="s">
        <v>11</v>
      </c>
      <c r="H246" s="164" t="s">
        <v>16</v>
      </c>
      <c r="I246" s="164" t="s">
        <v>17</v>
      </c>
      <c r="J246" s="164" t="s">
        <v>18</v>
      </c>
      <c r="K246" s="164" t="s">
        <v>15</v>
      </c>
      <c r="L246" s="177"/>
      <c r="M246" s="165" t="s">
        <v>11</v>
      </c>
      <c r="N246" s="164" t="s">
        <v>19</v>
      </c>
      <c r="O246" s="164" t="s">
        <v>20</v>
      </c>
      <c r="P246" s="164" t="s">
        <v>21</v>
      </c>
      <c r="Q246" s="164" t="s">
        <v>15</v>
      </c>
    </row>
    <row r="247" spans="1:17" s="163" customFormat="1" ht="18">
      <c r="A247" s="168" t="s">
        <v>22</v>
      </c>
      <c r="B247" s="196">
        <v>18.500076312576301</v>
      </c>
      <c r="C247" s="196">
        <v>37.813165364583298</v>
      </c>
      <c r="D247" s="196">
        <v>19.313089052007001</v>
      </c>
      <c r="E247" s="197">
        <v>0.51075039251001497</v>
      </c>
      <c r="G247" s="168" t="s">
        <v>22</v>
      </c>
      <c r="H247" s="196">
        <v>259.00106837606802</v>
      </c>
      <c r="I247" s="196">
        <v>529.38431510416694</v>
      </c>
      <c r="J247" s="196">
        <v>270.38324672809802</v>
      </c>
      <c r="K247" s="197">
        <v>0.51075039251001397</v>
      </c>
      <c r="L247" s="177"/>
      <c r="M247" s="168" t="s">
        <v>22</v>
      </c>
      <c r="N247" s="196">
        <v>80808.333333333299</v>
      </c>
      <c r="O247" s="196">
        <v>165167.90631250001</v>
      </c>
      <c r="P247" s="196">
        <v>84359.572979166696</v>
      </c>
      <c r="Q247" s="197">
        <v>0.51075039251001397</v>
      </c>
    </row>
    <row r="248" spans="1:17" s="163" customFormat="1" ht="18">
      <c r="A248" s="168" t="s">
        <v>23</v>
      </c>
      <c r="B248" s="196">
        <v>110.54967948718</v>
      </c>
      <c r="C248" s="196">
        <v>44.492521367521398</v>
      </c>
      <c r="D248" s="196">
        <v>-66.057158119658098</v>
      </c>
      <c r="E248" s="197">
        <v>-1.4846800336174799</v>
      </c>
      <c r="G248" s="168" t="s">
        <v>23</v>
      </c>
      <c r="H248" s="196">
        <v>1547.69551282051</v>
      </c>
      <c r="I248" s="196">
        <v>622.89529914529896</v>
      </c>
      <c r="J248" s="196">
        <v>-924.80021367521397</v>
      </c>
      <c r="K248" s="197">
        <v>-1.4846800336174799</v>
      </c>
      <c r="L248" s="177"/>
      <c r="M248" s="168" t="s">
        <v>23</v>
      </c>
      <c r="N248" s="196">
        <v>482881</v>
      </c>
      <c r="O248" s="196">
        <v>194343.33333333299</v>
      </c>
      <c r="P248" s="196">
        <v>-288537.66666666698</v>
      </c>
      <c r="Q248" s="197">
        <v>-1.4846800336174799</v>
      </c>
    </row>
    <row r="249" spans="1:17" s="163" customFormat="1" ht="18">
      <c r="A249" s="168" t="s">
        <v>24</v>
      </c>
      <c r="B249" s="196">
        <v>252.23557687423701</v>
      </c>
      <c r="C249" s="196">
        <v>276.03169082621099</v>
      </c>
      <c r="D249" s="196">
        <v>23.796113951974</v>
      </c>
      <c r="E249" s="197">
        <v>8.6207905623981201E-2</v>
      </c>
      <c r="G249" s="168" t="s">
        <v>24</v>
      </c>
      <c r="H249" s="196">
        <v>3531.2980762393199</v>
      </c>
      <c r="I249" s="196">
        <v>3864.4436715669499</v>
      </c>
      <c r="J249" s="196">
        <v>333.14559532763599</v>
      </c>
      <c r="K249" s="197">
        <v>8.6207905623981396E-2</v>
      </c>
      <c r="L249" s="177"/>
      <c r="M249" s="168" t="s">
        <v>24</v>
      </c>
      <c r="N249" s="196">
        <v>1101764.9997866701</v>
      </c>
      <c r="O249" s="196">
        <v>1205706.42552889</v>
      </c>
      <c r="P249" s="196">
        <v>103941.425742222</v>
      </c>
      <c r="Q249" s="197">
        <v>8.6207905623981396E-2</v>
      </c>
    </row>
    <row r="250" spans="1:17" s="163" customFormat="1" ht="18">
      <c r="A250" s="171" t="s">
        <v>25</v>
      </c>
      <c r="B250" s="204">
        <v>0.67492603550295904</v>
      </c>
      <c r="C250" s="204">
        <v>2.0019723865877701</v>
      </c>
      <c r="D250" s="204">
        <v>1.3270463510848101</v>
      </c>
      <c r="E250" s="197">
        <v>0.66286945812807896</v>
      </c>
      <c r="G250" s="171" t="s">
        <v>25</v>
      </c>
      <c r="H250" s="196">
        <v>9.4489644970414197</v>
      </c>
      <c r="I250" s="196">
        <v>28.027613412228799</v>
      </c>
      <c r="J250" s="196">
        <v>18.578648915187401</v>
      </c>
      <c r="K250" s="197">
        <v>0.66286945812807896</v>
      </c>
      <c r="L250" s="177"/>
      <c r="M250" s="171" t="s">
        <v>25</v>
      </c>
      <c r="N250" s="204">
        <v>2948.0769230769201</v>
      </c>
      <c r="O250" s="204">
        <v>8744.6153846153793</v>
      </c>
      <c r="P250" s="204">
        <v>5796.5384615384601</v>
      </c>
      <c r="Q250" s="197">
        <v>0.66286945812807896</v>
      </c>
    </row>
    <row r="251" spans="1:17" s="163" customFormat="1" ht="18">
      <c r="A251" s="171" t="s">
        <v>26</v>
      </c>
      <c r="B251" s="204">
        <v>5.30849358974359E-3</v>
      </c>
      <c r="C251" s="204">
        <v>2.13609467455621E-2</v>
      </c>
      <c r="D251" s="204">
        <v>1.6052453155818502E-2</v>
      </c>
      <c r="E251" s="197">
        <v>0.751486034164358</v>
      </c>
      <c r="G251" s="171" t="s">
        <v>26</v>
      </c>
      <c r="H251" s="196">
        <v>7.4318910256410298E-2</v>
      </c>
      <c r="I251" s="196">
        <v>0.29905325443787001</v>
      </c>
      <c r="J251" s="196">
        <v>0.22473434418145999</v>
      </c>
      <c r="K251" s="197">
        <v>0.751486034164358</v>
      </c>
      <c r="L251" s="177"/>
      <c r="M251" s="171" t="s">
        <v>26</v>
      </c>
      <c r="N251" s="204">
        <v>23.1875</v>
      </c>
      <c r="O251" s="204">
        <v>93.304615384615403</v>
      </c>
      <c r="P251" s="204">
        <v>70.117115384615403</v>
      </c>
      <c r="Q251" s="197">
        <v>0.751486034164358</v>
      </c>
    </row>
    <row r="252" spans="1:17" s="163" customFormat="1" ht="18">
      <c r="A252" s="171" t="s">
        <v>27</v>
      </c>
      <c r="B252" s="204">
        <v>0.107967032967033</v>
      </c>
      <c r="C252" s="204">
        <v>0.53983516483516503</v>
      </c>
      <c r="D252" s="204">
        <v>0.431868131868132</v>
      </c>
      <c r="E252" s="197">
        <v>0.8</v>
      </c>
      <c r="G252" s="171" t="s">
        <v>27</v>
      </c>
      <c r="H252" s="196">
        <v>1.5115384615384599</v>
      </c>
      <c r="I252" s="196">
        <v>7.5576923076923102</v>
      </c>
      <c r="J252" s="196">
        <v>6.0461538461538504</v>
      </c>
      <c r="K252" s="197">
        <v>0.8</v>
      </c>
      <c r="L252" s="177"/>
      <c r="M252" s="171" t="s">
        <v>27</v>
      </c>
      <c r="N252" s="204">
        <v>471.6</v>
      </c>
      <c r="O252" s="204">
        <v>2358</v>
      </c>
      <c r="P252" s="204">
        <v>1886.4</v>
      </c>
      <c r="Q252" s="197">
        <v>0.8</v>
      </c>
    </row>
    <row r="253" spans="1:17" s="172" customFormat="1" ht="18">
      <c r="A253" s="164" t="s">
        <v>28</v>
      </c>
      <c r="B253" s="205">
        <v>382.07353423605201</v>
      </c>
      <c r="C253" s="205">
        <v>360.90054605648402</v>
      </c>
      <c r="D253" s="205">
        <v>-21.172988179568399</v>
      </c>
      <c r="E253" s="211">
        <v>-5.8667099318421803E-2</v>
      </c>
      <c r="F253" s="163"/>
      <c r="G253" s="164" t="s">
        <v>28</v>
      </c>
      <c r="H253" s="205">
        <v>5349.0294793047296</v>
      </c>
      <c r="I253" s="205">
        <v>5052.6076447907799</v>
      </c>
      <c r="J253" s="205">
        <v>-296.42183451395698</v>
      </c>
      <c r="K253" s="211">
        <v>-5.8667099318421602E-2</v>
      </c>
      <c r="L253" s="177"/>
      <c r="M253" s="164" t="s">
        <v>28</v>
      </c>
      <c r="N253" s="205">
        <v>1668897.19754308</v>
      </c>
      <c r="O253" s="205">
        <v>1576413.58517472</v>
      </c>
      <c r="P253" s="205">
        <v>-92483.612368354501</v>
      </c>
      <c r="Q253" s="211">
        <v>-5.8667099318421602E-2</v>
      </c>
    </row>
    <row r="254" spans="1:17" s="163" customFormat="1" ht="18" hidden="1">
      <c r="A254" s="213" t="s">
        <v>29</v>
      </c>
      <c r="B254" s="214">
        <v>381.28533267399303</v>
      </c>
      <c r="C254" s="214">
        <v>358.33737755831498</v>
      </c>
      <c r="D254" s="214">
        <v>-22.9479551156772</v>
      </c>
      <c r="E254" s="197">
        <v>-6.4040082204214505E-2</v>
      </c>
      <c r="G254" s="213" t="s">
        <v>29</v>
      </c>
      <c r="H254" s="214">
        <v>5337.9946574359001</v>
      </c>
      <c r="I254" s="214">
        <v>5187.0386704317998</v>
      </c>
      <c r="J254" s="214">
        <v>-150.95598700409499</v>
      </c>
      <c r="K254" s="197">
        <v>-2.9102537419781499E-2</v>
      </c>
      <c r="L254" s="177"/>
      <c r="M254" s="213" t="s">
        <v>29</v>
      </c>
      <c r="N254" s="214">
        <v>1665454.3331200001</v>
      </c>
      <c r="O254" s="214">
        <v>1528827.5473237601</v>
      </c>
      <c r="P254" s="214">
        <v>-136626.78579623901</v>
      </c>
      <c r="Q254" s="197">
        <v>-8.9367035566180503E-2</v>
      </c>
    </row>
    <row r="255" spans="1:17" s="163" customFormat="1" ht="18" hidden="1">
      <c r="A255" s="213" t="s">
        <v>30</v>
      </c>
      <c r="B255" s="214">
        <v>0.78820156205973502</v>
      </c>
      <c r="C255" s="214">
        <v>2.5631684981684999</v>
      </c>
      <c r="D255" s="214">
        <v>1.7749669361087601</v>
      </c>
      <c r="E255" s="197">
        <v>0.69248936906686398</v>
      </c>
      <c r="G255" s="213" t="s">
        <v>30</v>
      </c>
      <c r="H255" s="214">
        <v>11.0348218688363</v>
      </c>
      <c r="I255" s="214">
        <v>35.884358974359003</v>
      </c>
      <c r="J255" s="214">
        <v>24.8495371055227</v>
      </c>
      <c r="K255" s="197">
        <v>0.69248936906686298</v>
      </c>
      <c r="L255" s="177"/>
      <c r="M255" s="213" t="s">
        <v>30</v>
      </c>
      <c r="N255" s="214">
        <v>3442.86442307692</v>
      </c>
      <c r="O255" s="214">
        <v>11195.92</v>
      </c>
      <c r="P255" s="214">
        <v>1956.51711538462</v>
      </c>
      <c r="Q255" s="197">
        <v>0.17475268806713701</v>
      </c>
    </row>
    <row r="256" spans="1:17" s="163" customFormat="1" ht="18">
      <c r="A256" s="215"/>
      <c r="B256" s="215"/>
      <c r="C256" s="215"/>
      <c r="D256" s="215"/>
      <c r="E256" s="215"/>
      <c r="F256" s="215"/>
      <c r="G256" s="215"/>
      <c r="H256" s="215"/>
      <c r="I256" s="215"/>
      <c r="J256" s="215"/>
      <c r="K256" s="215"/>
      <c r="L256" s="215"/>
      <c r="M256" s="215"/>
      <c r="N256" s="215"/>
      <c r="O256" s="215"/>
      <c r="P256" s="215"/>
      <c r="Q256" s="215"/>
    </row>
    <row r="257" spans="1:17" s="163" customFormat="1" ht="18">
      <c r="A257" s="166"/>
    </row>
    <row r="258" spans="1:17" s="163" customFormat="1" ht="18">
      <c r="A258" s="178" t="s">
        <v>36</v>
      </c>
      <c r="B258" s="166" t="s">
        <v>8</v>
      </c>
      <c r="C258" s="166" t="s">
        <v>9</v>
      </c>
      <c r="D258" s="177"/>
      <c r="E258" s="177"/>
      <c r="F258" s="177"/>
      <c r="G258" s="178" t="s">
        <v>36</v>
      </c>
      <c r="H258" s="166" t="s">
        <v>8</v>
      </c>
      <c r="I258" s="166" t="s">
        <v>9</v>
      </c>
      <c r="J258" s="177"/>
      <c r="K258" s="177"/>
      <c r="L258" s="177"/>
      <c r="M258" s="178" t="s">
        <v>36</v>
      </c>
      <c r="N258" s="166" t="s">
        <v>8</v>
      </c>
      <c r="O258" s="166" t="s">
        <v>9</v>
      </c>
      <c r="P258" s="177"/>
    </row>
    <row r="259" spans="1:17" s="163" customFormat="1" ht="18">
      <c r="A259" s="200" t="s">
        <v>10</v>
      </c>
      <c r="B259" s="195">
        <v>16</v>
      </c>
      <c r="C259" s="195">
        <v>16</v>
      </c>
      <c r="D259" s="177"/>
      <c r="E259" s="210" t="s">
        <v>32</v>
      </c>
      <c r="F259" s="177"/>
      <c r="G259" s="200" t="s">
        <v>10</v>
      </c>
      <c r="H259" s="195">
        <v>16</v>
      </c>
      <c r="I259" s="195">
        <v>16</v>
      </c>
      <c r="J259" s="177"/>
      <c r="K259" s="210" t="s">
        <v>32</v>
      </c>
      <c r="L259" s="177"/>
      <c r="M259" s="200" t="s">
        <v>10</v>
      </c>
      <c r="N259" s="195">
        <v>16</v>
      </c>
      <c r="O259" s="195">
        <v>16</v>
      </c>
      <c r="P259" s="177"/>
      <c r="Q259" s="210" t="s">
        <v>32</v>
      </c>
    </row>
    <row r="260" spans="1:17" s="163" customFormat="1" ht="18">
      <c r="A260" s="165" t="s">
        <v>11</v>
      </c>
      <c r="B260" s="164" t="s">
        <v>12</v>
      </c>
      <c r="C260" s="164" t="s">
        <v>13</v>
      </c>
      <c r="D260" s="164" t="s">
        <v>14</v>
      </c>
      <c r="E260" s="164" t="s">
        <v>15</v>
      </c>
      <c r="G260" s="165" t="s">
        <v>11</v>
      </c>
      <c r="H260" s="164" t="s">
        <v>16</v>
      </c>
      <c r="I260" s="164" t="s">
        <v>17</v>
      </c>
      <c r="J260" s="164" t="s">
        <v>18</v>
      </c>
      <c r="K260" s="164" t="s">
        <v>15</v>
      </c>
      <c r="L260" s="177"/>
      <c r="M260" s="165" t="s">
        <v>11</v>
      </c>
      <c r="N260" s="164" t="s">
        <v>19</v>
      </c>
      <c r="O260" s="164" t="s">
        <v>20</v>
      </c>
      <c r="P260" s="164" t="s">
        <v>21</v>
      </c>
      <c r="Q260" s="164" t="s">
        <v>15</v>
      </c>
    </row>
    <row r="261" spans="1:17" s="163" customFormat="1" ht="18">
      <c r="A261" s="168" t="s">
        <v>22</v>
      </c>
      <c r="B261" s="196">
        <v>18.434495192307701</v>
      </c>
      <c r="C261" s="196">
        <v>37.813165364583298</v>
      </c>
      <c r="D261" s="196">
        <v>19.378670172275601</v>
      </c>
      <c r="E261" s="197">
        <v>0.512484738726109</v>
      </c>
      <c r="G261" s="168" t="s">
        <v>22</v>
      </c>
      <c r="H261" s="196">
        <v>294.95192307692298</v>
      </c>
      <c r="I261" s="196">
        <v>605.010645833333</v>
      </c>
      <c r="J261" s="196">
        <v>310.05872275641002</v>
      </c>
      <c r="K261" s="197">
        <v>0.512484738726109</v>
      </c>
      <c r="L261" s="177"/>
      <c r="M261" s="168" t="s">
        <v>22</v>
      </c>
      <c r="N261" s="196">
        <v>92025</v>
      </c>
      <c r="O261" s="196">
        <v>188763.32149999999</v>
      </c>
      <c r="P261" s="196">
        <v>96738.321500000005</v>
      </c>
      <c r="Q261" s="197">
        <v>0.512484738726109</v>
      </c>
    </row>
    <row r="262" spans="1:17" s="163" customFormat="1" ht="18">
      <c r="A262" s="168" t="s">
        <v>23</v>
      </c>
      <c r="B262" s="196">
        <v>102.957532051282</v>
      </c>
      <c r="C262" s="196">
        <v>44.492521367521398</v>
      </c>
      <c r="D262" s="196">
        <v>-58.465010683760703</v>
      </c>
      <c r="E262" s="197">
        <v>-1.31404130147677</v>
      </c>
      <c r="G262" s="168" t="s">
        <v>23</v>
      </c>
      <c r="H262" s="196">
        <v>1647.32051282051</v>
      </c>
      <c r="I262" s="196">
        <v>711.88034188034203</v>
      </c>
      <c r="J262" s="196">
        <v>-935.44017094017101</v>
      </c>
      <c r="K262" s="197">
        <v>-1.31404130147677</v>
      </c>
      <c r="L262" s="177"/>
      <c r="M262" s="168" t="s">
        <v>23</v>
      </c>
      <c r="N262" s="196">
        <v>513964</v>
      </c>
      <c r="O262" s="196">
        <v>222106.66666666701</v>
      </c>
      <c r="P262" s="196">
        <v>-291857.33333333302</v>
      </c>
      <c r="Q262" s="197">
        <v>-1.31404130147677</v>
      </c>
    </row>
    <row r="263" spans="1:17" s="163" customFormat="1" ht="18">
      <c r="A263" s="168" t="s">
        <v>24</v>
      </c>
      <c r="B263" s="196">
        <v>249.46634344017099</v>
      </c>
      <c r="C263" s="196">
        <v>276.03169082621099</v>
      </c>
      <c r="D263" s="196">
        <v>26.5653473860399</v>
      </c>
      <c r="E263" s="197">
        <v>9.6240208167856403E-2</v>
      </c>
      <c r="G263" s="168" t="s">
        <v>24</v>
      </c>
      <c r="H263" s="196">
        <v>3991.4614950427299</v>
      </c>
      <c r="I263" s="196">
        <v>4416.5070532193704</v>
      </c>
      <c r="J263" s="196">
        <v>425.04555817663902</v>
      </c>
      <c r="K263" s="197">
        <v>9.6240208167856403E-2</v>
      </c>
      <c r="L263" s="177"/>
      <c r="M263" s="168" t="s">
        <v>24</v>
      </c>
      <c r="N263" s="196">
        <v>1245335.9864533299</v>
      </c>
      <c r="O263" s="196">
        <v>1377950.2006044399</v>
      </c>
      <c r="P263" s="196">
        <v>132614.21415111099</v>
      </c>
      <c r="Q263" s="197">
        <v>9.6240208167856195E-2</v>
      </c>
    </row>
    <row r="264" spans="1:17" s="163" customFormat="1" ht="18">
      <c r="A264" s="171" t="s">
        <v>25</v>
      </c>
      <c r="B264" s="204">
        <v>0.67492603550295904</v>
      </c>
      <c r="C264" s="204">
        <v>2.0019723865877701</v>
      </c>
      <c r="D264" s="204">
        <v>1.3270463510848101</v>
      </c>
      <c r="E264" s="197">
        <v>0.66286945812807896</v>
      </c>
      <c r="G264" s="171" t="s">
        <v>25</v>
      </c>
      <c r="H264" s="196">
        <v>10.7988165680473</v>
      </c>
      <c r="I264" s="196">
        <v>32.0315581854043</v>
      </c>
      <c r="J264" s="196">
        <v>21.232741617357</v>
      </c>
      <c r="K264" s="197">
        <v>0.66286945812807896</v>
      </c>
      <c r="L264" s="177"/>
      <c r="M264" s="171" t="s">
        <v>25</v>
      </c>
      <c r="N264" s="204">
        <v>3369.23076923077</v>
      </c>
      <c r="O264" s="204">
        <v>9993.8461538461506</v>
      </c>
      <c r="P264" s="204">
        <v>6624.6153846153802</v>
      </c>
      <c r="Q264" s="197">
        <v>0.66286945812807896</v>
      </c>
    </row>
    <row r="265" spans="1:17" s="163" customFormat="1" ht="18">
      <c r="A265" s="171" t="s">
        <v>26</v>
      </c>
      <c r="B265" s="204">
        <v>5.30849358974359E-3</v>
      </c>
      <c r="C265" s="204">
        <v>2.13609467455621E-2</v>
      </c>
      <c r="D265" s="204">
        <v>1.6052453155818502E-2</v>
      </c>
      <c r="E265" s="197">
        <v>0.751486034164358</v>
      </c>
      <c r="G265" s="171" t="s">
        <v>26</v>
      </c>
      <c r="H265" s="196">
        <v>8.4935897435897398E-2</v>
      </c>
      <c r="I265" s="196">
        <v>0.34177514792899399</v>
      </c>
      <c r="J265" s="196">
        <v>0.25683925049309703</v>
      </c>
      <c r="K265" s="197">
        <v>0.751486034164358</v>
      </c>
      <c r="L265" s="177"/>
      <c r="M265" s="171" t="s">
        <v>26</v>
      </c>
      <c r="N265" s="204">
        <v>26.5</v>
      </c>
      <c r="O265" s="204">
        <v>106.63384615384599</v>
      </c>
      <c r="P265" s="204">
        <v>80.133846153846207</v>
      </c>
      <c r="Q265" s="197">
        <v>0.751486034164358</v>
      </c>
    </row>
    <row r="266" spans="1:17" s="163" customFormat="1" ht="18">
      <c r="A266" s="171" t="s">
        <v>27</v>
      </c>
      <c r="B266" s="204">
        <v>9.4471153846153899E-2</v>
      </c>
      <c r="C266" s="204">
        <v>0.472355769230769</v>
      </c>
      <c r="D266" s="204">
        <v>0.37788461538461499</v>
      </c>
      <c r="E266" s="197">
        <v>0.8</v>
      </c>
      <c r="G266" s="171" t="s">
        <v>27</v>
      </c>
      <c r="H266" s="196">
        <v>1.5115384615384599</v>
      </c>
      <c r="I266" s="196">
        <v>7.5576923076923102</v>
      </c>
      <c r="J266" s="196">
        <v>6.0461538461538504</v>
      </c>
      <c r="K266" s="197">
        <v>0.8</v>
      </c>
      <c r="L266" s="177"/>
      <c r="M266" s="171" t="s">
        <v>27</v>
      </c>
      <c r="N266" s="204">
        <v>471.6</v>
      </c>
      <c r="O266" s="204">
        <v>2358</v>
      </c>
      <c r="P266" s="204">
        <v>1886.4</v>
      </c>
      <c r="Q266" s="197">
        <v>0.8</v>
      </c>
    </row>
    <row r="267" spans="1:17" s="172" customFormat="1" ht="18">
      <c r="A267" s="164" t="s">
        <v>28</v>
      </c>
      <c r="B267" s="205">
        <v>371.63307636669902</v>
      </c>
      <c r="C267" s="205">
        <v>360.83306666087998</v>
      </c>
      <c r="D267" s="205">
        <v>-10.8000097058199</v>
      </c>
      <c r="E267" s="211">
        <v>-2.9930764953894899E-2</v>
      </c>
      <c r="F267" s="163"/>
      <c r="G267" s="164" t="s">
        <v>28</v>
      </c>
      <c r="H267" s="205">
        <v>5946.1292218671897</v>
      </c>
      <c r="I267" s="205">
        <v>5773.3290665740797</v>
      </c>
      <c r="J267" s="205">
        <v>-172.800155293118</v>
      </c>
      <c r="K267" s="211">
        <v>-2.9930764953894899E-2</v>
      </c>
      <c r="L267" s="177"/>
      <c r="M267" s="164" t="s">
        <v>28</v>
      </c>
      <c r="N267" s="205">
        <v>1855192.3172225601</v>
      </c>
      <c r="O267" s="205">
        <v>1801278.66877111</v>
      </c>
      <c r="P267" s="205">
        <v>-53913.648451453199</v>
      </c>
      <c r="Q267" s="211">
        <v>-2.99307649538951E-2</v>
      </c>
    </row>
    <row r="268" spans="1:17" s="163" customFormat="1" ht="18" hidden="1">
      <c r="A268" s="213" t="s">
        <v>29</v>
      </c>
      <c r="B268" s="214">
        <v>370.858370683761</v>
      </c>
      <c r="C268" s="214">
        <v>358.33737755831601</v>
      </c>
      <c r="D268" s="214">
        <v>-12.5209931254451</v>
      </c>
      <c r="E268" s="197">
        <v>-3.4941912034860197E-2</v>
      </c>
      <c r="G268" s="213" t="s">
        <v>29</v>
      </c>
      <c r="H268" s="214">
        <v>5933.7339309401696</v>
      </c>
      <c r="I268" s="214">
        <v>5928.0441947791996</v>
      </c>
      <c r="J268" s="214">
        <v>-5.6897361609683204</v>
      </c>
      <c r="K268" s="197">
        <v>-9.5979988914037505E-4</v>
      </c>
      <c r="L268" s="177"/>
      <c r="M268" s="213" t="s">
        <v>29</v>
      </c>
      <c r="N268" s="214">
        <v>1851324.9864533299</v>
      </c>
      <c r="O268" s="214">
        <v>1747231.4826557301</v>
      </c>
      <c r="P268" s="214">
        <v>-104093.503797607</v>
      </c>
      <c r="Q268" s="197">
        <v>-5.9576252391806001E-2</v>
      </c>
    </row>
    <row r="269" spans="1:17" s="163" customFormat="1" ht="18" hidden="1">
      <c r="A269" s="213" t="s">
        <v>30</v>
      </c>
      <c r="B269" s="214">
        <v>0.774705682938856</v>
      </c>
      <c r="C269" s="214">
        <v>2.4956891025640999</v>
      </c>
      <c r="D269" s="214">
        <v>1.72098341962525</v>
      </c>
      <c r="E269" s="197">
        <v>0.68958245554588005</v>
      </c>
      <c r="G269" s="213" t="s">
        <v>30</v>
      </c>
      <c r="H269" s="214">
        <v>12.3952909270217</v>
      </c>
      <c r="I269" s="214">
        <v>39.931025641025599</v>
      </c>
      <c r="J269" s="214">
        <v>27.535734714003901</v>
      </c>
      <c r="K269" s="197">
        <v>0.68958245554588005</v>
      </c>
      <c r="L269" s="177"/>
      <c r="M269" s="213" t="s">
        <v>30</v>
      </c>
      <c r="N269" s="214">
        <v>3867.3307692307699</v>
      </c>
      <c r="O269" s="214">
        <v>12458.48</v>
      </c>
      <c r="P269" s="214">
        <v>1966.5338461538499</v>
      </c>
      <c r="Q269" s="197">
        <v>0.15784701232845799</v>
      </c>
    </row>
    <row r="270" spans="1:17" s="163" customFormat="1" ht="18">
      <c r="A270" s="215"/>
      <c r="B270" s="215"/>
      <c r="C270" s="215"/>
      <c r="D270" s="215"/>
      <c r="E270" s="215"/>
      <c r="F270" s="215"/>
      <c r="G270" s="215"/>
      <c r="H270" s="215"/>
      <c r="I270" s="215"/>
      <c r="J270" s="215"/>
      <c r="K270" s="215"/>
      <c r="L270" s="215"/>
      <c r="M270" s="215"/>
      <c r="N270" s="215"/>
      <c r="O270" s="215"/>
      <c r="P270" s="215"/>
      <c r="Q270" s="215"/>
    </row>
    <row r="271" spans="1:17" s="163" customFormat="1" ht="18">
      <c r="A271" s="166"/>
    </row>
    <row r="272" spans="1:17" s="163" customFormat="1" ht="18">
      <c r="A272" s="178" t="s">
        <v>37</v>
      </c>
      <c r="B272" s="166" t="s">
        <v>8</v>
      </c>
      <c r="C272" s="166" t="s">
        <v>9</v>
      </c>
      <c r="D272" s="177"/>
      <c r="E272" s="177"/>
      <c r="F272" s="177"/>
      <c r="G272" s="178" t="s">
        <v>37</v>
      </c>
      <c r="H272" s="166" t="s">
        <v>8</v>
      </c>
      <c r="I272" s="166" t="s">
        <v>9</v>
      </c>
      <c r="J272" s="177"/>
      <c r="K272" s="177"/>
      <c r="L272" s="177"/>
      <c r="M272" s="178" t="s">
        <v>37</v>
      </c>
      <c r="N272" s="166" t="s">
        <v>8</v>
      </c>
      <c r="O272" s="166" t="s">
        <v>9</v>
      </c>
      <c r="P272" s="177"/>
    </row>
    <row r="273" spans="1:17" s="163" customFormat="1" ht="18">
      <c r="A273" s="200" t="s">
        <v>10</v>
      </c>
      <c r="B273" s="195">
        <v>18</v>
      </c>
      <c r="C273" s="195">
        <v>18</v>
      </c>
      <c r="D273" s="177"/>
      <c r="E273" s="210" t="s">
        <v>32</v>
      </c>
      <c r="F273" s="177"/>
      <c r="G273" s="200" t="s">
        <v>10</v>
      </c>
      <c r="H273" s="195">
        <v>18</v>
      </c>
      <c r="I273" s="195">
        <v>18</v>
      </c>
      <c r="J273" s="177"/>
      <c r="K273" s="210" t="s">
        <v>32</v>
      </c>
      <c r="L273" s="177"/>
      <c r="M273" s="200" t="s">
        <v>10</v>
      </c>
      <c r="N273" s="195">
        <v>18</v>
      </c>
      <c r="O273" s="195">
        <v>18</v>
      </c>
      <c r="P273" s="177"/>
      <c r="Q273" s="210" t="s">
        <v>32</v>
      </c>
    </row>
    <row r="274" spans="1:17" s="163" customFormat="1" ht="18">
      <c r="A274" s="165" t="s">
        <v>11</v>
      </c>
      <c r="B274" s="164" t="s">
        <v>12</v>
      </c>
      <c r="C274" s="164" t="s">
        <v>13</v>
      </c>
      <c r="D274" s="164" t="s">
        <v>14</v>
      </c>
      <c r="E274" s="164" t="s">
        <v>15</v>
      </c>
      <c r="G274" s="165" t="s">
        <v>11</v>
      </c>
      <c r="H274" s="164" t="s">
        <v>16</v>
      </c>
      <c r="I274" s="164" t="s">
        <v>17</v>
      </c>
      <c r="J274" s="164" t="s">
        <v>18</v>
      </c>
      <c r="K274" s="164" t="s">
        <v>15</v>
      </c>
      <c r="L274" s="177"/>
      <c r="M274" s="165" t="s">
        <v>11</v>
      </c>
      <c r="N274" s="164" t="s">
        <v>19</v>
      </c>
      <c r="O274" s="164" t="s">
        <v>20</v>
      </c>
      <c r="P274" s="164" t="s">
        <v>21</v>
      </c>
      <c r="Q274" s="164" t="s">
        <v>15</v>
      </c>
    </row>
    <row r="275" spans="1:17" s="163" customFormat="1" ht="18">
      <c r="A275" s="168" t="s">
        <v>22</v>
      </c>
      <c r="B275" s="196">
        <v>18.383487654321002</v>
      </c>
      <c r="C275" s="196">
        <v>37.813165364583298</v>
      </c>
      <c r="D275" s="196">
        <v>19.4296777102623</v>
      </c>
      <c r="E275" s="197">
        <v>0.51383367467195995</v>
      </c>
      <c r="G275" s="168" t="s">
        <v>22</v>
      </c>
      <c r="H275" s="196">
        <v>330.902777777778</v>
      </c>
      <c r="I275" s="196">
        <v>680.63697656249997</v>
      </c>
      <c r="J275" s="196">
        <v>349.73419878472203</v>
      </c>
      <c r="K275" s="197">
        <v>0.51383367467195995</v>
      </c>
      <c r="L275" s="177"/>
      <c r="M275" s="168" t="s">
        <v>22</v>
      </c>
      <c r="N275" s="196">
        <v>103241.66666666701</v>
      </c>
      <c r="O275" s="196">
        <v>212358.7366875</v>
      </c>
      <c r="P275" s="196">
        <v>109117.07002083299</v>
      </c>
      <c r="Q275" s="197">
        <v>0.51383367467195995</v>
      </c>
    </row>
    <row r="276" spans="1:17" s="163" customFormat="1" ht="18">
      <c r="A276" s="168" t="s">
        <v>23</v>
      </c>
      <c r="B276" s="196">
        <v>97.052528490028493</v>
      </c>
      <c r="C276" s="196">
        <v>44.492521367521398</v>
      </c>
      <c r="D276" s="196">
        <v>-52.560007122507102</v>
      </c>
      <c r="E276" s="197">
        <v>-1.1813222875895499</v>
      </c>
      <c r="G276" s="168" t="s">
        <v>23</v>
      </c>
      <c r="H276" s="196">
        <v>1746.94551282051</v>
      </c>
      <c r="I276" s="196">
        <v>800.86538461538498</v>
      </c>
      <c r="J276" s="196">
        <v>-946.08012820512795</v>
      </c>
      <c r="K276" s="197">
        <v>-1.1813222875895499</v>
      </c>
      <c r="L276" s="177"/>
      <c r="M276" s="168" t="s">
        <v>23</v>
      </c>
      <c r="N276" s="196">
        <v>545047</v>
      </c>
      <c r="O276" s="196">
        <v>249870</v>
      </c>
      <c r="P276" s="196">
        <v>-295177</v>
      </c>
      <c r="Q276" s="197">
        <v>-1.1813222875895499</v>
      </c>
    </row>
    <row r="277" spans="1:17" s="163" customFormat="1" ht="18">
      <c r="A277" s="168" t="s">
        <v>24</v>
      </c>
      <c r="B277" s="196">
        <v>247.31249521367499</v>
      </c>
      <c r="C277" s="196">
        <v>276.03169082621099</v>
      </c>
      <c r="D277" s="196">
        <v>28.7191956125356</v>
      </c>
      <c r="E277" s="197">
        <v>0.104043110146426</v>
      </c>
      <c r="G277" s="168" t="s">
        <v>24</v>
      </c>
      <c r="H277" s="196">
        <v>4451.6249138461499</v>
      </c>
      <c r="I277" s="196">
        <v>4968.57043487179</v>
      </c>
      <c r="J277" s="196">
        <v>516.94552102564103</v>
      </c>
      <c r="K277" s="197">
        <v>0.104043110146426</v>
      </c>
      <c r="L277" s="177"/>
      <c r="M277" s="168" t="s">
        <v>24</v>
      </c>
      <c r="N277" s="196">
        <v>1388906.97312</v>
      </c>
      <c r="O277" s="196">
        <v>1550193.9756799999</v>
      </c>
      <c r="P277" s="196">
        <v>161287.00255999999</v>
      </c>
      <c r="Q277" s="197">
        <v>0.104043110146426</v>
      </c>
    </row>
    <row r="278" spans="1:17" s="163" customFormat="1" ht="18">
      <c r="A278" s="171" t="s">
        <v>25</v>
      </c>
      <c r="B278" s="204">
        <v>0.67492603550295904</v>
      </c>
      <c r="C278" s="204">
        <v>2.0019723865877701</v>
      </c>
      <c r="D278" s="204">
        <v>1.3270463510848101</v>
      </c>
      <c r="E278" s="197">
        <v>0.66286945812807896</v>
      </c>
      <c r="G278" s="171" t="s">
        <v>25</v>
      </c>
      <c r="H278" s="196">
        <v>12.1486686390533</v>
      </c>
      <c r="I278" s="196">
        <v>36.035502958579897</v>
      </c>
      <c r="J278" s="196">
        <v>23.886834319526599</v>
      </c>
      <c r="K278" s="197">
        <v>0.66286945812807896</v>
      </c>
      <c r="L278" s="177"/>
      <c r="M278" s="171" t="s">
        <v>25</v>
      </c>
      <c r="N278" s="204">
        <v>3790.3846153846198</v>
      </c>
      <c r="O278" s="204">
        <v>11243.0769230769</v>
      </c>
      <c r="P278" s="204">
        <v>7452.6923076923104</v>
      </c>
      <c r="Q278" s="197">
        <v>0.66286945812807896</v>
      </c>
    </row>
    <row r="279" spans="1:17" s="163" customFormat="1" ht="18">
      <c r="A279" s="171" t="s">
        <v>26</v>
      </c>
      <c r="B279" s="204">
        <v>5.30849358974359E-3</v>
      </c>
      <c r="C279" s="204">
        <v>2.13609467455621E-2</v>
      </c>
      <c r="D279" s="204">
        <v>1.6052453155818502E-2</v>
      </c>
      <c r="E279" s="197">
        <v>0.751486034164358</v>
      </c>
      <c r="G279" s="171" t="s">
        <v>26</v>
      </c>
      <c r="H279" s="196">
        <v>9.5552884615384595E-2</v>
      </c>
      <c r="I279" s="196">
        <v>0.38449704142011798</v>
      </c>
      <c r="J279" s="196">
        <v>0.28894415680473401</v>
      </c>
      <c r="K279" s="197">
        <v>0.751486034164358</v>
      </c>
      <c r="L279" s="177"/>
      <c r="M279" s="171" t="s">
        <v>26</v>
      </c>
      <c r="N279" s="204">
        <v>29.8125</v>
      </c>
      <c r="O279" s="204">
        <v>119.963076923077</v>
      </c>
      <c r="P279" s="204">
        <v>90.150576923076898</v>
      </c>
      <c r="Q279" s="197">
        <v>0.751486034164358</v>
      </c>
    </row>
    <row r="280" spans="1:17" s="163" customFormat="1" ht="18">
      <c r="A280" s="171" t="s">
        <v>27</v>
      </c>
      <c r="B280" s="204">
        <v>8.3974358974358995E-2</v>
      </c>
      <c r="C280" s="204">
        <v>0.41987179487179499</v>
      </c>
      <c r="D280" s="204">
        <v>0.33589743589743598</v>
      </c>
      <c r="E280" s="197">
        <v>0.8</v>
      </c>
      <c r="G280" s="171" t="s">
        <v>27</v>
      </c>
      <c r="H280" s="196">
        <v>1.5115384615384599</v>
      </c>
      <c r="I280" s="196">
        <v>7.5576923076923102</v>
      </c>
      <c r="J280" s="196">
        <v>6.0461538461538504</v>
      </c>
      <c r="K280" s="197">
        <v>0.8</v>
      </c>
      <c r="L280" s="177"/>
      <c r="M280" s="171" t="s">
        <v>27</v>
      </c>
      <c r="N280" s="204">
        <v>471.6</v>
      </c>
      <c r="O280" s="204">
        <v>2358</v>
      </c>
      <c r="P280" s="204">
        <v>1886.4</v>
      </c>
      <c r="Q280" s="197">
        <v>0.8</v>
      </c>
    </row>
    <row r="281" spans="1:17" s="172" customFormat="1" ht="18">
      <c r="A281" s="164" t="s">
        <v>28</v>
      </c>
      <c r="B281" s="205">
        <v>363.51272024609199</v>
      </c>
      <c r="C281" s="205">
        <v>360.78058268652097</v>
      </c>
      <c r="D281" s="205">
        <v>-2.7321375595710702</v>
      </c>
      <c r="E281" s="211">
        <v>-7.57285089797919E-3</v>
      </c>
      <c r="F281" s="163"/>
      <c r="G281" s="164" t="s">
        <v>28</v>
      </c>
      <c r="H281" s="205">
        <v>6543.2289644296497</v>
      </c>
      <c r="I281" s="205">
        <v>6494.0504883573703</v>
      </c>
      <c r="J281" s="205">
        <v>-49.1784760722797</v>
      </c>
      <c r="K281" s="211">
        <v>-7.5728508979792499E-3</v>
      </c>
      <c r="L281" s="177"/>
      <c r="M281" s="164" t="s">
        <v>28</v>
      </c>
      <c r="N281" s="205">
        <v>2041487.4369020499</v>
      </c>
      <c r="O281" s="205">
        <v>2026143.7523675</v>
      </c>
      <c r="P281" s="205">
        <v>-15343.684534551299</v>
      </c>
      <c r="Q281" s="211">
        <v>-7.5728508979792802E-3</v>
      </c>
    </row>
    <row r="282" spans="1:17" s="163" customFormat="1" ht="18" hidden="1">
      <c r="A282" s="213" t="s">
        <v>29</v>
      </c>
      <c r="B282" s="214">
        <v>362.74851135802498</v>
      </c>
      <c r="C282" s="214">
        <v>358.33737755831601</v>
      </c>
      <c r="D282" s="214">
        <v>-4.41113379970915</v>
      </c>
      <c r="E282" s="197">
        <v>-1.2310001903140201E-2</v>
      </c>
      <c r="G282" s="213" t="s">
        <v>29</v>
      </c>
      <c r="H282" s="214">
        <v>6529.4732044444399</v>
      </c>
      <c r="I282" s="214">
        <v>6669.0497191266004</v>
      </c>
      <c r="J282" s="214">
        <v>139.57651468215801</v>
      </c>
      <c r="K282" s="197">
        <v>2.0928995968024899E-2</v>
      </c>
      <c r="L282" s="177"/>
      <c r="M282" s="213" t="s">
        <v>29</v>
      </c>
      <c r="N282" s="214">
        <v>2037195.63978667</v>
      </c>
      <c r="O282" s="214">
        <v>1965635.4179876901</v>
      </c>
      <c r="P282" s="214">
        <v>-71560.221798974395</v>
      </c>
      <c r="Q282" s="197">
        <v>-3.6405643256181099E-2</v>
      </c>
    </row>
    <row r="283" spans="1:17" s="163" customFormat="1" ht="18" hidden="1">
      <c r="A283" s="213" t="s">
        <v>30</v>
      </c>
      <c r="B283" s="214">
        <v>0.764208888067061</v>
      </c>
      <c r="C283" s="214">
        <v>2.4432051282051299</v>
      </c>
      <c r="D283" s="214">
        <v>1.67899624013807</v>
      </c>
      <c r="E283" s="197">
        <v>0.68721050916077697</v>
      </c>
      <c r="G283" s="213" t="s">
        <v>30</v>
      </c>
      <c r="H283" s="214">
        <v>13.755759985207099</v>
      </c>
      <c r="I283" s="214">
        <v>43.977692307692301</v>
      </c>
      <c r="J283" s="214">
        <v>30.221932322485198</v>
      </c>
      <c r="K283" s="197">
        <v>0.68721050916077697</v>
      </c>
      <c r="L283" s="177"/>
      <c r="M283" s="213" t="s">
        <v>30</v>
      </c>
      <c r="N283" s="214">
        <v>4291.7971153846202</v>
      </c>
      <c r="O283" s="214">
        <v>13721.04</v>
      </c>
      <c r="P283" s="214">
        <v>1976.5505769230799</v>
      </c>
      <c r="Q283" s="197">
        <v>0.144052533694463</v>
      </c>
    </row>
    <row r="284" spans="1:17" s="163" customFormat="1" ht="18">
      <c r="A284" s="215"/>
      <c r="B284" s="215"/>
      <c r="C284" s="215"/>
      <c r="D284" s="215"/>
      <c r="E284" s="215"/>
      <c r="F284" s="215"/>
      <c r="G284" s="215"/>
      <c r="H284" s="215"/>
      <c r="I284" s="215"/>
      <c r="J284" s="215"/>
      <c r="K284" s="215"/>
      <c r="L284" s="215"/>
      <c r="M284" s="215"/>
      <c r="N284" s="215"/>
      <c r="O284" s="215"/>
      <c r="P284" s="215"/>
      <c r="Q284" s="215"/>
    </row>
    <row r="285" spans="1:17" s="163" customFormat="1" ht="18">
      <c r="A285" s="166"/>
    </row>
    <row r="286" spans="1:17" s="163" customFormat="1" ht="18">
      <c r="A286" s="178" t="s">
        <v>38</v>
      </c>
      <c r="B286" s="166" t="s">
        <v>8</v>
      </c>
      <c r="C286" s="166" t="s">
        <v>9</v>
      </c>
      <c r="D286" s="177"/>
      <c r="E286" s="177"/>
      <c r="F286" s="177"/>
      <c r="G286" s="178" t="s">
        <v>38</v>
      </c>
      <c r="H286" s="166" t="s">
        <v>8</v>
      </c>
      <c r="I286" s="166" t="s">
        <v>9</v>
      </c>
      <c r="J286" s="177"/>
      <c r="K286" s="177"/>
      <c r="L286" s="177"/>
      <c r="M286" s="178" t="s">
        <v>38</v>
      </c>
      <c r="N286" s="166" t="s">
        <v>8</v>
      </c>
      <c r="O286" s="166" t="s">
        <v>9</v>
      </c>
      <c r="P286" s="177"/>
    </row>
    <row r="287" spans="1:17" s="163" customFormat="1" ht="18">
      <c r="A287" s="200" t="s">
        <v>10</v>
      </c>
      <c r="B287" s="195">
        <v>20</v>
      </c>
      <c r="C287" s="195">
        <v>20</v>
      </c>
      <c r="D287" s="177"/>
      <c r="E287" s="201" t="s">
        <v>34</v>
      </c>
      <c r="F287" s="177"/>
      <c r="G287" s="200" t="s">
        <v>10</v>
      </c>
      <c r="H287" s="195">
        <v>20</v>
      </c>
      <c r="I287" s="195">
        <v>20</v>
      </c>
      <c r="J287" s="177"/>
      <c r="K287" s="201" t="s">
        <v>34</v>
      </c>
      <c r="L287" s="177"/>
      <c r="M287" s="200" t="s">
        <v>10</v>
      </c>
      <c r="N287" s="195">
        <v>20</v>
      </c>
      <c r="O287" s="195">
        <v>20</v>
      </c>
      <c r="P287" s="177"/>
      <c r="Q287" s="201" t="s">
        <v>34</v>
      </c>
    </row>
    <row r="288" spans="1:17" s="163" customFormat="1" ht="18">
      <c r="A288" s="165" t="s">
        <v>11</v>
      </c>
      <c r="B288" s="164" t="s">
        <v>12</v>
      </c>
      <c r="C288" s="164" t="s">
        <v>13</v>
      </c>
      <c r="D288" s="164" t="s">
        <v>14</v>
      </c>
      <c r="E288" s="164" t="s">
        <v>15</v>
      </c>
      <c r="G288" s="165" t="s">
        <v>11</v>
      </c>
      <c r="H288" s="164" t="s">
        <v>16</v>
      </c>
      <c r="I288" s="164" t="s">
        <v>17</v>
      </c>
      <c r="J288" s="164" t="s">
        <v>18</v>
      </c>
      <c r="K288" s="164" t="s">
        <v>15</v>
      </c>
      <c r="L288" s="177"/>
      <c r="M288" s="165" t="s">
        <v>11</v>
      </c>
      <c r="N288" s="164" t="s">
        <v>19</v>
      </c>
      <c r="O288" s="164" t="s">
        <v>20</v>
      </c>
      <c r="P288" s="164" t="s">
        <v>21</v>
      </c>
      <c r="Q288" s="164" t="s">
        <v>15</v>
      </c>
    </row>
    <row r="289" spans="1:17" s="163" customFormat="1" ht="18">
      <c r="A289" s="168" t="s">
        <v>22</v>
      </c>
      <c r="B289" s="196">
        <v>18.3426816239316</v>
      </c>
      <c r="C289" s="196">
        <v>37.813165364583298</v>
      </c>
      <c r="D289" s="196">
        <v>19.470483740651702</v>
      </c>
      <c r="E289" s="197">
        <v>0.51491282342864098</v>
      </c>
      <c r="G289" s="168" t="s">
        <v>22</v>
      </c>
      <c r="H289" s="196">
        <v>366.85363247863302</v>
      </c>
      <c r="I289" s="196">
        <v>756.26330729166705</v>
      </c>
      <c r="J289" s="196">
        <v>389.40967481303397</v>
      </c>
      <c r="K289" s="197">
        <v>0.51491282342864098</v>
      </c>
      <c r="L289" s="177"/>
      <c r="M289" s="168" t="s">
        <v>22</v>
      </c>
      <c r="N289" s="196">
        <v>114458.33333333299</v>
      </c>
      <c r="O289" s="196">
        <v>235954.15187500001</v>
      </c>
      <c r="P289" s="196">
        <v>121495.818541667</v>
      </c>
      <c r="Q289" s="197">
        <v>0.51491282342864098</v>
      </c>
    </row>
    <row r="290" spans="1:17" s="163" customFormat="1" ht="18">
      <c r="A290" s="168" t="s">
        <v>23</v>
      </c>
      <c r="B290" s="196">
        <v>92.328525641025607</v>
      </c>
      <c r="C290" s="196">
        <v>44.492521367521398</v>
      </c>
      <c r="D290" s="196">
        <v>-47.836004273504301</v>
      </c>
      <c r="E290" s="197">
        <v>-1.0751470764797699</v>
      </c>
      <c r="G290" s="168" t="s">
        <v>23</v>
      </c>
      <c r="H290" s="196">
        <v>1846.57051282051</v>
      </c>
      <c r="I290" s="196">
        <v>889.85042735042703</v>
      </c>
      <c r="J290" s="196">
        <v>-956.720085470085</v>
      </c>
      <c r="K290" s="197">
        <v>-1.0751470764797699</v>
      </c>
      <c r="L290" s="177"/>
      <c r="M290" s="168" t="s">
        <v>23</v>
      </c>
      <c r="N290" s="196">
        <v>576130</v>
      </c>
      <c r="O290" s="196">
        <v>277633.33333333302</v>
      </c>
      <c r="P290" s="196">
        <v>-298496.66666666698</v>
      </c>
      <c r="Q290" s="197">
        <v>-1.0751470764797699</v>
      </c>
    </row>
    <row r="291" spans="1:17" s="163" customFormat="1" ht="18">
      <c r="A291" s="168" t="s">
        <v>24</v>
      </c>
      <c r="B291" s="196">
        <v>245.58941663247899</v>
      </c>
      <c r="C291" s="196">
        <v>276.03169082621099</v>
      </c>
      <c r="D291" s="196">
        <v>30.442274193732199</v>
      </c>
      <c r="E291" s="197">
        <v>0.110285431729281</v>
      </c>
      <c r="G291" s="168" t="s">
        <v>24</v>
      </c>
      <c r="H291" s="196">
        <v>4911.7883326495703</v>
      </c>
      <c r="I291" s="196">
        <v>5520.6338165242196</v>
      </c>
      <c r="J291" s="196">
        <v>608.84548387464304</v>
      </c>
      <c r="K291" s="197">
        <v>0.110285431729281</v>
      </c>
      <c r="L291" s="177"/>
      <c r="M291" s="168" t="s">
        <v>24</v>
      </c>
      <c r="N291" s="196">
        <v>1532477.95978667</v>
      </c>
      <c r="O291" s="196">
        <v>1722437.7507555599</v>
      </c>
      <c r="P291" s="196">
        <v>189959.79096888899</v>
      </c>
      <c r="Q291" s="197">
        <v>0.110285431729281</v>
      </c>
    </row>
    <row r="292" spans="1:17" s="163" customFormat="1" ht="18">
      <c r="A292" s="171" t="s">
        <v>25</v>
      </c>
      <c r="B292" s="204">
        <v>0.67492603550295904</v>
      </c>
      <c r="C292" s="204">
        <v>2.0019723865877701</v>
      </c>
      <c r="D292" s="204">
        <v>1.3270463510848101</v>
      </c>
      <c r="E292" s="197">
        <v>0.66286945812807896</v>
      </c>
      <c r="G292" s="171" t="s">
        <v>25</v>
      </c>
      <c r="H292" s="196">
        <v>13.4985207100592</v>
      </c>
      <c r="I292" s="196">
        <v>40.039447731755402</v>
      </c>
      <c r="J292" s="196">
        <v>26.540927021696199</v>
      </c>
      <c r="K292" s="197">
        <v>0.66286945812807896</v>
      </c>
      <c r="L292" s="177"/>
      <c r="M292" s="171" t="s">
        <v>25</v>
      </c>
      <c r="N292" s="204">
        <v>4211.5384615384601</v>
      </c>
      <c r="O292" s="204">
        <v>12492.307692307701</v>
      </c>
      <c r="P292" s="204">
        <v>8280.7692307692305</v>
      </c>
      <c r="Q292" s="197">
        <v>0.66286945812807896</v>
      </c>
    </row>
    <row r="293" spans="1:17" s="163" customFormat="1" ht="18">
      <c r="A293" s="171" t="s">
        <v>26</v>
      </c>
      <c r="B293" s="204">
        <v>5.30849358974359E-3</v>
      </c>
      <c r="C293" s="204">
        <v>2.13609467455621E-2</v>
      </c>
      <c r="D293" s="204">
        <v>1.6052453155818502E-2</v>
      </c>
      <c r="E293" s="197">
        <v>0.751486034164358</v>
      </c>
      <c r="G293" s="171" t="s">
        <v>26</v>
      </c>
      <c r="H293" s="196">
        <v>0.106169871794872</v>
      </c>
      <c r="I293" s="196">
        <v>0.42721893491124302</v>
      </c>
      <c r="J293" s="196">
        <v>0.32104906311637099</v>
      </c>
      <c r="K293" s="197">
        <v>0.751486034164358</v>
      </c>
      <c r="L293" s="177"/>
      <c r="M293" s="171" t="s">
        <v>26</v>
      </c>
      <c r="N293" s="204">
        <v>33.125</v>
      </c>
      <c r="O293" s="204">
        <v>133.29230769230799</v>
      </c>
      <c r="P293" s="204">
        <v>100.167307692308</v>
      </c>
      <c r="Q293" s="197">
        <v>0.751486034164358</v>
      </c>
    </row>
    <row r="294" spans="1:17" s="163" customFormat="1" ht="18">
      <c r="A294" s="171" t="s">
        <v>27</v>
      </c>
      <c r="B294" s="204">
        <v>7.5576923076923097E-2</v>
      </c>
      <c r="C294" s="204">
        <v>0.37788461538461499</v>
      </c>
      <c r="D294" s="204">
        <v>0.302307692307692</v>
      </c>
      <c r="E294" s="197">
        <v>0.8</v>
      </c>
      <c r="G294" s="171" t="s">
        <v>27</v>
      </c>
      <c r="H294" s="196">
        <v>1.5115384615384599</v>
      </c>
      <c r="I294" s="196">
        <v>7.5576923076923102</v>
      </c>
      <c r="J294" s="196">
        <v>6.0461538461538504</v>
      </c>
      <c r="K294" s="197">
        <v>0.8</v>
      </c>
      <c r="L294" s="177"/>
      <c r="M294" s="171" t="s">
        <v>27</v>
      </c>
      <c r="N294" s="204">
        <v>471.6</v>
      </c>
      <c r="O294" s="204">
        <v>2358</v>
      </c>
      <c r="P294" s="204">
        <v>1886.4</v>
      </c>
      <c r="Q294" s="197">
        <v>0.8</v>
      </c>
    </row>
    <row r="295" spans="1:17" s="172" customFormat="1" ht="18">
      <c r="A295" s="164" t="s">
        <v>28</v>
      </c>
      <c r="B295" s="205">
        <v>357.01643534960601</v>
      </c>
      <c r="C295" s="205">
        <v>360.73859550703401</v>
      </c>
      <c r="D295" s="205">
        <v>3.7221601574279601</v>
      </c>
      <c r="E295" s="211">
        <v>1.0318164465314E-2</v>
      </c>
      <c r="F295" s="163"/>
      <c r="G295" s="164" t="s">
        <v>28</v>
      </c>
      <c r="H295" s="205">
        <v>7140.3287069921098</v>
      </c>
      <c r="I295" s="205">
        <v>7214.7719101406701</v>
      </c>
      <c r="J295" s="205">
        <v>74.443203148558197</v>
      </c>
      <c r="K295" s="211">
        <v>1.03181644653139E-2</v>
      </c>
      <c r="L295" s="177"/>
      <c r="M295" s="164" t="s">
        <v>28</v>
      </c>
      <c r="N295" s="205">
        <v>2227782.55658154</v>
      </c>
      <c r="O295" s="205">
        <v>2251008.83596389</v>
      </c>
      <c r="P295" s="205">
        <v>23226.2793823504</v>
      </c>
      <c r="Q295" s="211">
        <v>1.0318164465314E-2</v>
      </c>
    </row>
    <row r="296" spans="1:17" s="163" customFormat="1" ht="18" hidden="1">
      <c r="A296" s="213" t="s">
        <v>29</v>
      </c>
      <c r="B296" s="214">
        <v>356.26062389743601</v>
      </c>
      <c r="C296" s="214">
        <v>358.33737755831498</v>
      </c>
      <c r="D296" s="214">
        <v>2.0767536608796302</v>
      </c>
      <c r="E296" s="197">
        <v>5.7955262022356697E-3</v>
      </c>
      <c r="G296" s="213" t="s">
        <v>29</v>
      </c>
      <c r="H296" s="214">
        <v>7125.2124779487203</v>
      </c>
      <c r="I296" s="214">
        <v>7410.0552434740002</v>
      </c>
      <c r="J296" s="214">
        <v>284.84276552528399</v>
      </c>
      <c r="K296" s="197">
        <v>3.8440032653756999E-2</v>
      </c>
      <c r="L296" s="177"/>
      <c r="M296" s="213" t="s">
        <v>29</v>
      </c>
      <c r="N296" s="214">
        <v>2223066.29312</v>
      </c>
      <c r="O296" s="214">
        <v>2184039.3533196598</v>
      </c>
      <c r="P296" s="214">
        <v>-39026.939800341897</v>
      </c>
      <c r="Q296" s="197">
        <v>-1.7869155947681199E-2</v>
      </c>
    </row>
    <row r="297" spans="1:17" s="163" customFormat="1" ht="18" hidden="1">
      <c r="A297" s="213" t="s">
        <v>30</v>
      </c>
      <c r="B297" s="214">
        <v>0.75581145216962498</v>
      </c>
      <c r="C297" s="214">
        <v>2.4012179487179499</v>
      </c>
      <c r="D297" s="214">
        <v>1.6454064965483199</v>
      </c>
      <c r="E297" s="197">
        <v>0.685238296434871</v>
      </c>
      <c r="G297" s="213" t="s">
        <v>30</v>
      </c>
      <c r="H297" s="214">
        <v>15.116229043392501</v>
      </c>
      <c r="I297" s="214">
        <v>48.024358974358996</v>
      </c>
      <c r="J297" s="214">
        <v>32.908129930966503</v>
      </c>
      <c r="K297" s="197">
        <v>0.685238296434871</v>
      </c>
      <c r="L297" s="177"/>
      <c r="M297" s="213" t="s">
        <v>30</v>
      </c>
      <c r="N297" s="214">
        <v>4716.2634615384604</v>
      </c>
      <c r="O297" s="214">
        <v>14983.6</v>
      </c>
      <c r="P297" s="214">
        <v>1986.5673076923099</v>
      </c>
      <c r="Q297" s="197">
        <v>0.13258277768308699</v>
      </c>
    </row>
    <row r="298" spans="1:17" s="163" customFormat="1" ht="18">
      <c r="A298" s="215"/>
      <c r="B298" s="215"/>
      <c r="C298" s="215"/>
      <c r="D298" s="215"/>
      <c r="E298" s="215"/>
      <c r="F298" s="215"/>
      <c r="G298" s="215"/>
      <c r="H298" s="215"/>
      <c r="I298" s="215"/>
      <c r="J298" s="215"/>
      <c r="K298" s="215"/>
      <c r="L298" s="215"/>
      <c r="M298" s="215"/>
      <c r="N298" s="215"/>
      <c r="O298" s="215"/>
      <c r="P298" s="215"/>
      <c r="Q298" s="215"/>
    </row>
    <row r="299" spans="1:17" s="163" customFormat="1" ht="18">
      <c r="A299" s="166"/>
    </row>
    <row r="300" spans="1:17" s="163" customFormat="1" ht="18">
      <c r="A300" s="178" t="s">
        <v>39</v>
      </c>
      <c r="B300" s="166" t="s">
        <v>8</v>
      </c>
      <c r="C300" s="166" t="s">
        <v>9</v>
      </c>
      <c r="D300" s="177"/>
      <c r="E300" s="177"/>
      <c r="F300" s="177"/>
      <c r="G300" s="178" t="s">
        <v>39</v>
      </c>
      <c r="H300" s="166" t="s">
        <v>8</v>
      </c>
      <c r="I300" s="166" t="s">
        <v>9</v>
      </c>
      <c r="J300" s="177"/>
      <c r="K300" s="177"/>
      <c r="L300" s="177"/>
      <c r="M300" s="178" t="s">
        <v>39</v>
      </c>
      <c r="N300" s="166" t="s">
        <v>8</v>
      </c>
      <c r="O300" s="166" t="s">
        <v>9</v>
      </c>
      <c r="P300" s="177"/>
    </row>
    <row r="301" spans="1:17" s="163" customFormat="1" ht="18">
      <c r="A301" s="200" t="s">
        <v>10</v>
      </c>
      <c r="B301" s="195">
        <v>22</v>
      </c>
      <c r="C301" s="195">
        <v>22</v>
      </c>
      <c r="D301" s="177"/>
      <c r="E301" s="201" t="s">
        <v>34</v>
      </c>
      <c r="F301" s="177"/>
      <c r="G301" s="200" t="s">
        <v>10</v>
      </c>
      <c r="H301" s="195">
        <v>22</v>
      </c>
      <c r="I301" s="195">
        <v>22</v>
      </c>
      <c r="J301" s="177"/>
      <c r="K301" s="201" t="s">
        <v>34</v>
      </c>
      <c r="L301" s="177"/>
      <c r="M301" s="200" t="s">
        <v>10</v>
      </c>
      <c r="N301" s="195">
        <v>22</v>
      </c>
      <c r="O301" s="195">
        <v>22</v>
      </c>
      <c r="P301" s="177"/>
      <c r="Q301" s="201" t="s">
        <v>34</v>
      </c>
    </row>
    <row r="302" spans="1:17" s="163" customFormat="1" ht="18">
      <c r="A302" s="165" t="s">
        <v>11</v>
      </c>
      <c r="B302" s="164" t="s">
        <v>12</v>
      </c>
      <c r="C302" s="164" t="s">
        <v>13</v>
      </c>
      <c r="D302" s="164" t="s">
        <v>14</v>
      </c>
      <c r="E302" s="164" t="s">
        <v>15</v>
      </c>
      <c r="G302" s="165" t="s">
        <v>11</v>
      </c>
      <c r="H302" s="164" t="s">
        <v>16</v>
      </c>
      <c r="I302" s="164" t="s">
        <v>17</v>
      </c>
      <c r="J302" s="164" t="s">
        <v>18</v>
      </c>
      <c r="K302" s="164" t="s">
        <v>15</v>
      </c>
      <c r="L302" s="177"/>
      <c r="M302" s="165" t="s">
        <v>11</v>
      </c>
      <c r="N302" s="164" t="s">
        <v>19</v>
      </c>
      <c r="O302" s="164" t="s">
        <v>20</v>
      </c>
      <c r="P302" s="164" t="s">
        <v>21</v>
      </c>
      <c r="Q302" s="164" t="s">
        <v>15</v>
      </c>
    </row>
    <row r="303" spans="1:17" s="163" customFormat="1" ht="18">
      <c r="A303" s="168" t="s">
        <v>22</v>
      </c>
      <c r="B303" s="196">
        <v>18.309294871794901</v>
      </c>
      <c r="C303" s="196">
        <v>37.813165364583298</v>
      </c>
      <c r="D303" s="196">
        <v>19.503870492788501</v>
      </c>
      <c r="E303" s="197">
        <v>0.51579576332047095</v>
      </c>
      <c r="G303" s="168" t="s">
        <v>22</v>
      </c>
      <c r="H303" s="196">
        <v>402.80448717948701</v>
      </c>
      <c r="I303" s="196">
        <v>831.88963802083299</v>
      </c>
      <c r="J303" s="196">
        <v>429.08515084134598</v>
      </c>
      <c r="K303" s="197">
        <v>0.51579576332047095</v>
      </c>
      <c r="L303" s="177"/>
      <c r="M303" s="168" t="s">
        <v>22</v>
      </c>
      <c r="N303" s="196">
        <v>125675</v>
      </c>
      <c r="O303" s="196">
        <v>259549.56706249999</v>
      </c>
      <c r="P303" s="196">
        <v>133874.56706249999</v>
      </c>
      <c r="Q303" s="197">
        <v>0.51579576332047095</v>
      </c>
    </row>
    <row r="304" spans="1:17" s="163" customFormat="1" ht="18">
      <c r="A304" s="168" t="s">
        <v>23</v>
      </c>
      <c r="B304" s="196">
        <v>88.463432400932405</v>
      </c>
      <c r="C304" s="196">
        <v>44.492521367521398</v>
      </c>
      <c r="D304" s="196">
        <v>-43.970911033410999</v>
      </c>
      <c r="E304" s="197">
        <v>-0.98827644920813396</v>
      </c>
      <c r="G304" s="168" t="s">
        <v>23</v>
      </c>
      <c r="H304" s="196">
        <v>1946.19551282051</v>
      </c>
      <c r="I304" s="196">
        <v>978.83547008546998</v>
      </c>
      <c r="J304" s="196">
        <v>-967.36004273504295</v>
      </c>
      <c r="K304" s="197">
        <v>-0.98827644920813396</v>
      </c>
      <c r="L304" s="177"/>
      <c r="M304" s="168" t="s">
        <v>23</v>
      </c>
      <c r="N304" s="196">
        <v>607213</v>
      </c>
      <c r="O304" s="196">
        <v>305396.66666666698</v>
      </c>
      <c r="P304" s="196">
        <v>-301816.33333333302</v>
      </c>
      <c r="Q304" s="197">
        <v>-0.98827644920813396</v>
      </c>
    </row>
    <row r="305" spans="1:17" s="163" customFormat="1" ht="18">
      <c r="A305" s="168" t="s">
        <v>24</v>
      </c>
      <c r="B305" s="196">
        <v>244.17962506604499</v>
      </c>
      <c r="C305" s="196">
        <v>276.03169082621099</v>
      </c>
      <c r="D305" s="196">
        <v>31.8520657601658</v>
      </c>
      <c r="E305" s="197">
        <v>0.115392785751618</v>
      </c>
      <c r="G305" s="168" t="s">
        <v>24</v>
      </c>
      <c r="H305" s="196">
        <v>5371.9517514529898</v>
      </c>
      <c r="I305" s="196">
        <v>6072.6971981766401</v>
      </c>
      <c r="J305" s="196">
        <v>700.74544672364595</v>
      </c>
      <c r="K305" s="197">
        <v>0.115392785751618</v>
      </c>
      <c r="L305" s="177"/>
      <c r="M305" s="168" t="s">
        <v>24</v>
      </c>
      <c r="N305" s="196">
        <v>1676048.9464533301</v>
      </c>
      <c r="O305" s="196">
        <v>1894681.5258311101</v>
      </c>
      <c r="P305" s="196">
        <v>218632.57937777799</v>
      </c>
      <c r="Q305" s="197">
        <v>0.115392785751618</v>
      </c>
    </row>
    <row r="306" spans="1:17" s="163" customFormat="1" ht="18">
      <c r="A306" s="171" t="s">
        <v>25</v>
      </c>
      <c r="B306" s="204">
        <v>0.67492603550295904</v>
      </c>
      <c r="C306" s="204">
        <v>2.0019723865877701</v>
      </c>
      <c r="D306" s="204">
        <v>1.3270463510848101</v>
      </c>
      <c r="E306" s="197">
        <v>0.66286945812807896</v>
      </c>
      <c r="G306" s="171" t="s">
        <v>25</v>
      </c>
      <c r="H306" s="196">
        <v>14.8483727810651</v>
      </c>
      <c r="I306" s="196">
        <v>44.043392504930999</v>
      </c>
      <c r="J306" s="196">
        <v>29.195019723865901</v>
      </c>
      <c r="K306" s="197">
        <v>0.66286945812807896</v>
      </c>
      <c r="L306" s="177"/>
      <c r="M306" s="171" t="s">
        <v>25</v>
      </c>
      <c r="N306" s="204">
        <v>4632.6923076923104</v>
      </c>
      <c r="O306" s="204">
        <v>13741.538461538499</v>
      </c>
      <c r="P306" s="204">
        <v>9108.8461538461506</v>
      </c>
      <c r="Q306" s="197">
        <v>0.66286945812807896</v>
      </c>
    </row>
    <row r="307" spans="1:17" s="163" customFormat="1" ht="18">
      <c r="A307" s="171" t="s">
        <v>26</v>
      </c>
      <c r="B307" s="204">
        <v>5.30849358974359E-3</v>
      </c>
      <c r="C307" s="204">
        <v>2.13609467455621E-2</v>
      </c>
      <c r="D307" s="204">
        <v>1.6052453155818502E-2</v>
      </c>
      <c r="E307" s="197">
        <v>0.751486034164358</v>
      </c>
      <c r="G307" s="171" t="s">
        <v>26</v>
      </c>
      <c r="H307" s="196">
        <v>0.116786858974359</v>
      </c>
      <c r="I307" s="196">
        <v>0.46994082840236701</v>
      </c>
      <c r="J307" s="196">
        <v>0.35315396942800797</v>
      </c>
      <c r="K307" s="197">
        <v>0.751486034164358</v>
      </c>
      <c r="L307" s="177"/>
      <c r="M307" s="171" t="s">
        <v>26</v>
      </c>
      <c r="N307" s="204">
        <v>36.4375</v>
      </c>
      <c r="O307" s="204">
        <v>146.62153846153799</v>
      </c>
      <c r="P307" s="204">
        <v>110.18403846153799</v>
      </c>
      <c r="Q307" s="197">
        <v>0.751486034164358</v>
      </c>
    </row>
    <row r="308" spans="1:17" s="163" customFormat="1" ht="18">
      <c r="A308" s="171" t="s">
        <v>27</v>
      </c>
      <c r="B308" s="204">
        <v>6.8706293706293706E-2</v>
      </c>
      <c r="C308" s="204">
        <v>0.34353146853146899</v>
      </c>
      <c r="D308" s="204">
        <v>0.27482517482517499</v>
      </c>
      <c r="E308" s="197">
        <v>0.8</v>
      </c>
      <c r="G308" s="171" t="s">
        <v>27</v>
      </c>
      <c r="H308" s="196">
        <v>1.5115384615384599</v>
      </c>
      <c r="I308" s="196">
        <v>7.5576923076923102</v>
      </c>
      <c r="J308" s="196">
        <v>6.0461538461538504</v>
      </c>
      <c r="K308" s="197">
        <v>0.8</v>
      </c>
      <c r="L308" s="177"/>
      <c r="M308" s="171" t="s">
        <v>27</v>
      </c>
      <c r="N308" s="204">
        <v>471.6</v>
      </c>
      <c r="O308" s="204">
        <v>2358</v>
      </c>
      <c r="P308" s="204">
        <v>1886.4</v>
      </c>
      <c r="Q308" s="197">
        <v>0.8</v>
      </c>
    </row>
    <row r="309" spans="1:17" s="172" customFormat="1" ht="18">
      <c r="A309" s="164" t="s">
        <v>28</v>
      </c>
      <c r="B309" s="205">
        <v>351.70129316157102</v>
      </c>
      <c r="C309" s="205">
        <v>360.70424236017999</v>
      </c>
      <c r="D309" s="205">
        <v>9.0029491986090004</v>
      </c>
      <c r="E309" s="211">
        <v>2.4959365988324399E-2</v>
      </c>
      <c r="F309" s="163"/>
      <c r="G309" s="164" t="s">
        <v>28</v>
      </c>
      <c r="H309" s="205">
        <v>7737.4284495545699</v>
      </c>
      <c r="I309" s="205">
        <v>7935.4933319239699</v>
      </c>
      <c r="J309" s="205">
        <v>198.064882369397</v>
      </c>
      <c r="K309" s="211">
        <v>2.4959365988324201E-2</v>
      </c>
      <c r="L309" s="177"/>
      <c r="M309" s="164" t="s">
        <v>28</v>
      </c>
      <c r="N309" s="205">
        <v>2414077.6762610301</v>
      </c>
      <c r="O309" s="205">
        <v>2475873.9195602802</v>
      </c>
      <c r="P309" s="205">
        <v>61796.243299252201</v>
      </c>
      <c r="Q309" s="211">
        <v>2.4959365988324399E-2</v>
      </c>
    </row>
    <row r="310" spans="1:17" s="163" customFormat="1" ht="18" hidden="1">
      <c r="A310" s="213" t="s">
        <v>29</v>
      </c>
      <c r="B310" s="214">
        <v>350.95235233877202</v>
      </c>
      <c r="C310" s="214">
        <v>358.33684337028097</v>
      </c>
      <c r="D310" s="214">
        <v>7.3844910315090004</v>
      </c>
      <c r="E310" s="197">
        <v>2.0607680086857202E-2</v>
      </c>
      <c r="G310" s="213" t="s">
        <v>29</v>
      </c>
      <c r="H310" s="214">
        <v>7720.9517514529898</v>
      </c>
      <c r="I310" s="214">
        <v>8151.0490156846499</v>
      </c>
      <c r="J310" s="214">
        <v>430.09726423165898</v>
      </c>
      <c r="K310" s="197">
        <v>5.2765878772663997E-2</v>
      </c>
      <c r="L310" s="177"/>
      <c r="M310" s="213" t="s">
        <v>29</v>
      </c>
      <c r="N310" s="214">
        <v>2408936.9464533301</v>
      </c>
      <c r="O310" s="214">
        <v>2402439.62198496</v>
      </c>
      <c r="P310" s="214">
        <v>-6497.3244683759403</v>
      </c>
      <c r="Q310" s="197">
        <v>-2.7044694105601199E-3</v>
      </c>
    </row>
    <row r="311" spans="1:17" s="163" customFormat="1" ht="18" hidden="1">
      <c r="A311" s="213" t="s">
        <v>30</v>
      </c>
      <c r="B311" s="214">
        <v>0.74894082279899599</v>
      </c>
      <c r="C311" s="214">
        <v>2.3668648018648</v>
      </c>
      <c r="D311" s="214">
        <v>1.61792397906581</v>
      </c>
      <c r="E311" s="197">
        <v>0.68357262222627901</v>
      </c>
      <c r="G311" s="213" t="s">
        <v>30</v>
      </c>
      <c r="H311" s="214">
        <v>16.476698101577899</v>
      </c>
      <c r="I311" s="214">
        <v>52.071025641025599</v>
      </c>
      <c r="J311" s="214">
        <v>35.594327539447697</v>
      </c>
      <c r="K311" s="197">
        <v>0.68357262222627901</v>
      </c>
      <c r="L311" s="177"/>
      <c r="M311" s="213" t="s">
        <v>30</v>
      </c>
      <c r="N311" s="214">
        <v>5140.7298076923098</v>
      </c>
      <c r="O311" s="214">
        <v>16246.16</v>
      </c>
      <c r="P311" s="214">
        <v>1996.5840384615401</v>
      </c>
      <c r="Q311" s="197">
        <v>0.122895751270549</v>
      </c>
    </row>
    <row r="312" spans="1:17" s="163" customFormat="1" ht="18">
      <c r="A312" s="215"/>
      <c r="B312" s="215"/>
      <c r="C312" s="215"/>
      <c r="D312" s="215"/>
      <c r="E312" s="215"/>
      <c r="F312" s="215"/>
      <c r="G312" s="215"/>
      <c r="H312" s="215"/>
      <c r="I312" s="215"/>
      <c r="J312" s="215"/>
      <c r="K312" s="215"/>
      <c r="L312" s="215"/>
      <c r="M312" s="215"/>
      <c r="N312" s="215"/>
      <c r="O312" s="215"/>
      <c r="P312" s="215"/>
      <c r="Q312" s="215"/>
    </row>
    <row r="313" spans="1:17" s="163" customFormat="1" ht="18"/>
    <row r="314" spans="1:17" s="163" customFormat="1" ht="18">
      <c r="A314" s="178" t="s">
        <v>40</v>
      </c>
      <c r="B314" s="166" t="s">
        <v>8</v>
      </c>
      <c r="C314" s="166" t="s">
        <v>9</v>
      </c>
      <c r="D314" s="177"/>
      <c r="E314" s="177"/>
      <c r="F314" s="177"/>
      <c r="G314" s="178" t="s">
        <v>40</v>
      </c>
      <c r="H314" s="166" t="s">
        <v>8</v>
      </c>
      <c r="I314" s="166" t="s">
        <v>9</v>
      </c>
      <c r="J314" s="177"/>
      <c r="K314" s="177"/>
      <c r="L314" s="177"/>
      <c r="M314" s="178" t="s">
        <v>40</v>
      </c>
      <c r="N314" s="166" t="s">
        <v>8</v>
      </c>
      <c r="O314" s="166" t="s">
        <v>9</v>
      </c>
      <c r="P314" s="177"/>
    </row>
    <row r="315" spans="1:17" s="163" customFormat="1" ht="18">
      <c r="A315" s="200" t="s">
        <v>10</v>
      </c>
      <c r="B315" s="195">
        <v>24</v>
      </c>
      <c r="C315" s="195">
        <v>24</v>
      </c>
      <c r="D315" s="177"/>
      <c r="E315" s="201" t="s">
        <v>34</v>
      </c>
      <c r="F315" s="177"/>
      <c r="G315" s="200" t="s">
        <v>10</v>
      </c>
      <c r="H315" s="195">
        <v>24</v>
      </c>
      <c r="I315" s="195">
        <v>24</v>
      </c>
      <c r="J315" s="177"/>
      <c r="K315" s="201" t="s">
        <v>34</v>
      </c>
      <c r="L315" s="177"/>
      <c r="M315" s="200" t="s">
        <v>10</v>
      </c>
      <c r="N315" s="195">
        <v>24</v>
      </c>
      <c r="O315" s="195">
        <v>24</v>
      </c>
      <c r="P315" s="177"/>
      <c r="Q315" s="201" t="s">
        <v>34</v>
      </c>
    </row>
    <row r="316" spans="1:17" s="163" customFormat="1" ht="18">
      <c r="A316" s="165" t="s">
        <v>11</v>
      </c>
      <c r="B316" s="164" t="s">
        <v>12</v>
      </c>
      <c r="C316" s="164" t="s">
        <v>13</v>
      </c>
      <c r="D316" s="164" t="s">
        <v>14</v>
      </c>
      <c r="E316" s="164" t="s">
        <v>15</v>
      </c>
      <c r="G316" s="165" t="s">
        <v>11</v>
      </c>
      <c r="H316" s="164" t="s">
        <v>16</v>
      </c>
      <c r="I316" s="164" t="s">
        <v>17</v>
      </c>
      <c r="J316" s="164" t="s">
        <v>18</v>
      </c>
      <c r="K316" s="164" t="s">
        <v>15</v>
      </c>
      <c r="L316" s="177"/>
      <c r="M316" s="165" t="s">
        <v>11</v>
      </c>
      <c r="N316" s="164" t="s">
        <v>19</v>
      </c>
      <c r="O316" s="164" t="s">
        <v>20</v>
      </c>
      <c r="P316" s="164" t="s">
        <v>21</v>
      </c>
      <c r="Q316" s="164" t="s">
        <v>15</v>
      </c>
    </row>
    <row r="317" spans="1:17" s="163" customFormat="1" ht="18">
      <c r="A317" s="168" t="s">
        <v>22</v>
      </c>
      <c r="B317" s="196">
        <v>18.2814725783476</v>
      </c>
      <c r="C317" s="196">
        <v>37.813165364583298</v>
      </c>
      <c r="D317" s="196">
        <v>19.531692786235801</v>
      </c>
      <c r="E317" s="197">
        <v>0.51653154656366296</v>
      </c>
      <c r="G317" s="168" t="s">
        <v>22</v>
      </c>
      <c r="H317" s="196">
        <v>438.75534188034197</v>
      </c>
      <c r="I317" s="196">
        <v>907.51596874999996</v>
      </c>
      <c r="J317" s="196">
        <v>468.76062686965798</v>
      </c>
      <c r="K317" s="197">
        <v>0.51653154656366296</v>
      </c>
      <c r="L317" s="177"/>
      <c r="M317" s="168" t="s">
        <v>22</v>
      </c>
      <c r="N317" s="196">
        <v>136891.66666666701</v>
      </c>
      <c r="O317" s="196">
        <v>283144.98225</v>
      </c>
      <c r="P317" s="196">
        <v>146253.31558333299</v>
      </c>
      <c r="Q317" s="197">
        <v>0.51653154656366296</v>
      </c>
    </row>
    <row r="318" spans="1:17" s="163" customFormat="1" ht="18">
      <c r="A318" s="168" t="s">
        <v>23</v>
      </c>
      <c r="B318" s="196">
        <v>85.242521367521405</v>
      </c>
      <c r="C318" s="196">
        <v>44.492521367521398</v>
      </c>
      <c r="D318" s="196">
        <v>-40.75</v>
      </c>
      <c r="E318" s="197">
        <v>-0.91588425981510402</v>
      </c>
      <c r="G318" s="168" t="s">
        <v>23</v>
      </c>
      <c r="H318" s="196">
        <v>2045.82051282051</v>
      </c>
      <c r="I318" s="196">
        <v>1067.82051282051</v>
      </c>
      <c r="J318" s="196">
        <v>-978</v>
      </c>
      <c r="K318" s="197">
        <v>-0.91588425981510402</v>
      </c>
      <c r="L318" s="177"/>
      <c r="M318" s="168" t="s">
        <v>23</v>
      </c>
      <c r="N318" s="196">
        <v>638296</v>
      </c>
      <c r="O318" s="196">
        <v>333160</v>
      </c>
      <c r="P318" s="196">
        <v>-305136</v>
      </c>
      <c r="Q318" s="197">
        <v>-0.91588425981510402</v>
      </c>
    </row>
    <row r="319" spans="1:17" s="163" customFormat="1" ht="18">
      <c r="A319" s="168" t="s">
        <v>24</v>
      </c>
      <c r="B319" s="196">
        <v>243.004798760684</v>
      </c>
      <c r="C319" s="196">
        <v>276.03169082621099</v>
      </c>
      <c r="D319" s="196">
        <v>33.0268920655271</v>
      </c>
      <c r="E319" s="197">
        <v>0.119648914103565</v>
      </c>
      <c r="G319" s="168" t="s">
        <v>24</v>
      </c>
      <c r="H319" s="196">
        <v>5832.1151702564102</v>
      </c>
      <c r="I319" s="196">
        <v>6624.7605798290597</v>
      </c>
      <c r="J319" s="196">
        <v>792.64540957264899</v>
      </c>
      <c r="K319" s="197">
        <v>0.119648914103565</v>
      </c>
      <c r="L319" s="177"/>
      <c r="M319" s="168" t="s">
        <v>24</v>
      </c>
      <c r="N319" s="196">
        <v>1819619.9331199999</v>
      </c>
      <c r="O319" s="196">
        <v>2066925.30090667</v>
      </c>
      <c r="P319" s="196">
        <v>247305.36778666699</v>
      </c>
      <c r="Q319" s="197">
        <v>0.119648914103565</v>
      </c>
    </row>
    <row r="320" spans="1:17" s="163" customFormat="1" ht="18">
      <c r="A320" s="171" t="s">
        <v>25</v>
      </c>
      <c r="B320" s="204">
        <v>0.67492603550295904</v>
      </c>
      <c r="C320" s="204">
        <v>2.0019723865877701</v>
      </c>
      <c r="D320" s="204">
        <v>1.3270463510848101</v>
      </c>
      <c r="E320" s="197">
        <v>0.66286945812807896</v>
      </c>
      <c r="G320" s="171" t="s">
        <v>25</v>
      </c>
      <c r="H320" s="196">
        <v>16.198224852071</v>
      </c>
      <c r="I320" s="196">
        <v>48.047337278106497</v>
      </c>
      <c r="J320" s="196">
        <v>31.8491124260355</v>
      </c>
      <c r="K320" s="197">
        <v>0.66286945812807896</v>
      </c>
      <c r="L320" s="177"/>
      <c r="M320" s="171" t="s">
        <v>25</v>
      </c>
      <c r="N320" s="204">
        <v>5053.8461538461497</v>
      </c>
      <c r="O320" s="204">
        <v>14990.7692307692</v>
      </c>
      <c r="P320" s="204">
        <v>9936.9230769230799</v>
      </c>
      <c r="Q320" s="197">
        <v>0.66286945812807896</v>
      </c>
    </row>
    <row r="321" spans="1:17" s="163" customFormat="1" ht="18">
      <c r="A321" s="171" t="s">
        <v>26</v>
      </c>
      <c r="B321" s="204">
        <v>5.30849358974359E-3</v>
      </c>
      <c r="C321" s="204">
        <v>2.13609467455621E-2</v>
      </c>
      <c r="D321" s="204">
        <v>1.6052453155818502E-2</v>
      </c>
      <c r="E321" s="197">
        <v>0.751486034164358</v>
      </c>
      <c r="G321" s="171" t="s">
        <v>26</v>
      </c>
      <c r="H321" s="196">
        <v>0.12740384615384601</v>
      </c>
      <c r="I321" s="196">
        <v>0.51266272189349105</v>
      </c>
      <c r="J321" s="196">
        <v>0.38525887573964501</v>
      </c>
      <c r="K321" s="197">
        <v>0.751486034164358</v>
      </c>
      <c r="L321" s="177"/>
      <c r="M321" s="171" t="s">
        <v>26</v>
      </c>
      <c r="N321" s="204">
        <v>39.75</v>
      </c>
      <c r="O321" s="204">
        <v>159.950769230769</v>
      </c>
      <c r="P321" s="204">
        <v>120.200769230769</v>
      </c>
      <c r="Q321" s="197">
        <v>0.751486034164358</v>
      </c>
    </row>
    <row r="322" spans="1:17" s="163" customFormat="1" ht="18">
      <c r="A322" s="171" t="s">
        <v>27</v>
      </c>
      <c r="B322" s="204">
        <v>6.2980769230769201E-2</v>
      </c>
      <c r="C322" s="204">
        <v>0.31490384615384598</v>
      </c>
      <c r="D322" s="204">
        <v>0.25192307692307703</v>
      </c>
      <c r="E322" s="197">
        <v>0.8</v>
      </c>
      <c r="G322" s="171" t="s">
        <v>27</v>
      </c>
      <c r="H322" s="196">
        <v>1.5115384615384599</v>
      </c>
      <c r="I322" s="196">
        <v>7.5576923076923102</v>
      </c>
      <c r="J322" s="196">
        <v>6.0461538461538504</v>
      </c>
      <c r="K322" s="197">
        <v>0.8</v>
      </c>
      <c r="L322" s="177"/>
      <c r="M322" s="171" t="s">
        <v>27</v>
      </c>
      <c r="N322" s="204">
        <v>471.6</v>
      </c>
      <c r="O322" s="204">
        <v>2358</v>
      </c>
      <c r="P322" s="204">
        <v>1886.4</v>
      </c>
      <c r="Q322" s="197">
        <v>0.8</v>
      </c>
    </row>
    <row r="323" spans="1:17" s="172" customFormat="1" ht="18">
      <c r="A323" s="164" t="s">
        <v>28</v>
      </c>
      <c r="B323" s="205">
        <v>347.272008004876</v>
      </c>
      <c r="C323" s="205">
        <v>360.67561473780302</v>
      </c>
      <c r="D323" s="205">
        <v>13.403606732926599</v>
      </c>
      <c r="E323" s="211">
        <v>3.7162497782586401E-2</v>
      </c>
      <c r="F323" s="163"/>
      <c r="G323" s="164" t="s">
        <v>28</v>
      </c>
      <c r="H323" s="205">
        <v>8334.5281921170299</v>
      </c>
      <c r="I323" s="205">
        <v>8656.2147537072706</v>
      </c>
      <c r="J323" s="205">
        <v>321.68656159023601</v>
      </c>
      <c r="K323" s="211">
        <v>3.71624977825862E-2</v>
      </c>
      <c r="L323" s="177"/>
      <c r="M323" s="164" t="s">
        <v>28</v>
      </c>
      <c r="N323" s="205">
        <v>2600372.79594051</v>
      </c>
      <c r="O323" s="205">
        <v>2700739.0031566699</v>
      </c>
      <c r="P323" s="205">
        <v>100366.207216154</v>
      </c>
      <c r="Q323" s="211">
        <v>3.7162497782586297E-2</v>
      </c>
    </row>
    <row r="324" spans="1:17" s="163" customFormat="1" ht="18" hidden="1">
      <c r="A324" s="213" t="s">
        <v>29</v>
      </c>
      <c r="B324" s="214">
        <f>SUM(B317:B319)</f>
        <v>346.52879270655302</v>
      </c>
      <c r="C324" s="214">
        <f>SUM(C317:C319)</f>
        <v>358.33737755831601</v>
      </c>
      <c r="D324" s="214">
        <f>SUM(D317:D319)</f>
        <v>11.8085848517629</v>
      </c>
      <c r="E324" s="197">
        <f>D324/C324</f>
        <v>3.2953818360299703E-2</v>
      </c>
      <c r="G324" s="213" t="s">
        <v>29</v>
      </c>
      <c r="H324" s="214">
        <f>SUM(H317:H319)</f>
        <v>8316.6910249572593</v>
      </c>
      <c r="I324" s="214">
        <f>SUM(I317:I319)</f>
        <v>8600.0970613995705</v>
      </c>
      <c r="J324" s="214">
        <f>SUM(J317:J319)</f>
        <v>283.40603644230703</v>
      </c>
      <c r="K324" s="197">
        <f>J324/I324</f>
        <v>3.2953818360299501E-2</v>
      </c>
      <c r="L324" s="177"/>
      <c r="M324" s="213" t="s">
        <v>29</v>
      </c>
      <c r="N324" s="214">
        <f>SUM(N317:N319)</f>
        <v>2594807.5997866699</v>
      </c>
      <c r="O324" s="214">
        <f>SUM(O317:O319)</f>
        <v>2683230.2831566702</v>
      </c>
      <c r="P324" s="214">
        <f>SUM(P317:P319)</f>
        <v>88422.683370000203</v>
      </c>
      <c r="Q324" s="197">
        <f>P324/O324</f>
        <v>3.2953818360299598E-2</v>
      </c>
    </row>
    <row r="325" spans="1:17" s="163" customFormat="1" ht="18" hidden="1">
      <c r="A325" s="213" t="s">
        <v>30</v>
      </c>
      <c r="B325" s="214">
        <f>SUM(B320:B322)</f>
        <v>0.743215298323471</v>
      </c>
      <c r="C325" s="214">
        <f>SUM(C320:C322)</f>
        <v>2.3382371794871801</v>
      </c>
      <c r="D325" s="214">
        <f>SUM(D320:D322)</f>
        <v>1.59502188116371</v>
      </c>
      <c r="E325" s="197">
        <f>D325/C325</f>
        <v>0.68214717273186398</v>
      </c>
      <c r="G325" s="213" t="s">
        <v>30</v>
      </c>
      <c r="H325" s="214">
        <f>SUM(H320:H322)</f>
        <v>17.8371671597633</v>
      </c>
      <c r="I325" s="214">
        <f>SUM(I320:I322)</f>
        <v>56.117692307692302</v>
      </c>
      <c r="J325" s="214">
        <f>SUM(J320:J322)</f>
        <v>38.280525147928998</v>
      </c>
      <c r="K325" s="197">
        <f>J325/I325</f>
        <v>0.68214717273186398</v>
      </c>
      <c r="L325" s="177"/>
      <c r="M325" s="213" t="s">
        <v>30</v>
      </c>
      <c r="N325" s="214">
        <f>SUM(N320:N322)</f>
        <v>5565.1961538461501</v>
      </c>
      <c r="O325" s="214">
        <f>SUM(O320:O322)</f>
        <v>17508.72</v>
      </c>
      <c r="P325" s="214">
        <f>SUM(P320:P322)</f>
        <v>11943.523846153799</v>
      </c>
      <c r="Q325" s="197">
        <f>P325/O325</f>
        <v>0.68214717273186398</v>
      </c>
    </row>
    <row r="326" spans="1:17" s="163" customFormat="1" ht="18">
      <c r="A326" s="215"/>
      <c r="B326" s="215"/>
      <c r="C326" s="215"/>
      <c r="D326" s="215"/>
      <c r="E326" s="215"/>
      <c r="F326" s="215"/>
      <c r="G326" s="215"/>
      <c r="H326" s="215"/>
      <c r="I326" s="215"/>
      <c r="J326" s="215"/>
      <c r="K326" s="215"/>
      <c r="L326" s="215"/>
      <c r="M326" s="215"/>
      <c r="N326" s="215"/>
      <c r="O326" s="215"/>
      <c r="P326" s="215"/>
      <c r="Q326" s="215"/>
    </row>
    <row r="327" spans="1:17" s="163" customFormat="1" ht="18"/>
    <row r="328" spans="1:17" s="163" customFormat="1" ht="18">
      <c r="A328" s="178" t="s">
        <v>41</v>
      </c>
      <c r="B328" s="166" t="s">
        <v>8</v>
      </c>
      <c r="C328" s="166" t="s">
        <v>9</v>
      </c>
      <c r="D328" s="177"/>
      <c r="E328" s="177"/>
      <c r="F328" s="177"/>
      <c r="G328" s="178" t="s">
        <v>41</v>
      </c>
      <c r="H328" s="166" t="s">
        <v>8</v>
      </c>
      <c r="I328" s="166" t="s">
        <v>9</v>
      </c>
      <c r="J328" s="177"/>
      <c r="K328" s="177"/>
      <c r="L328" s="177"/>
      <c r="M328" s="178" t="s">
        <v>41</v>
      </c>
      <c r="N328" s="166" t="s">
        <v>8</v>
      </c>
      <c r="O328" s="166" t="s">
        <v>9</v>
      </c>
      <c r="P328" s="177"/>
    </row>
    <row r="329" spans="1:17" s="163" customFormat="1" ht="18">
      <c r="A329" s="200" t="s">
        <v>10</v>
      </c>
      <c r="B329" s="195">
        <v>30</v>
      </c>
      <c r="C329" s="195">
        <v>30</v>
      </c>
      <c r="D329" s="177"/>
      <c r="E329" s="201" t="s">
        <v>34</v>
      </c>
      <c r="F329" s="177"/>
      <c r="G329" s="200" t="s">
        <v>10</v>
      </c>
      <c r="H329" s="195">
        <v>30</v>
      </c>
      <c r="I329" s="195">
        <v>30</v>
      </c>
      <c r="J329" s="177"/>
      <c r="K329" s="201" t="s">
        <v>34</v>
      </c>
      <c r="L329" s="177"/>
      <c r="M329" s="200" t="s">
        <v>10</v>
      </c>
      <c r="N329" s="195">
        <v>30</v>
      </c>
      <c r="O329" s="195">
        <v>30</v>
      </c>
      <c r="P329" s="177"/>
      <c r="Q329" s="201" t="s">
        <v>34</v>
      </c>
    </row>
    <row r="330" spans="1:17" s="163" customFormat="1" ht="18">
      <c r="A330" s="165" t="s">
        <v>11</v>
      </c>
      <c r="B330" s="164" t="s">
        <v>12</v>
      </c>
      <c r="C330" s="164" t="s">
        <v>13</v>
      </c>
      <c r="D330" s="164" t="s">
        <v>14</v>
      </c>
      <c r="E330" s="164" t="s">
        <v>15</v>
      </c>
      <c r="G330" s="165" t="s">
        <v>11</v>
      </c>
      <c r="H330" s="164" t="s">
        <v>16</v>
      </c>
      <c r="I330" s="164" t="s">
        <v>17</v>
      </c>
      <c r="J330" s="164" t="s">
        <v>18</v>
      </c>
      <c r="K330" s="164" t="s">
        <v>15</v>
      </c>
      <c r="L330" s="177"/>
      <c r="M330" s="165" t="s">
        <v>11</v>
      </c>
      <c r="N330" s="164" t="s">
        <v>19</v>
      </c>
      <c r="O330" s="164" t="s">
        <v>20</v>
      </c>
      <c r="P330" s="164" t="s">
        <v>21</v>
      </c>
      <c r="Q330" s="164" t="s">
        <v>15</v>
      </c>
    </row>
    <row r="331" spans="1:17" s="163" customFormat="1" ht="18">
      <c r="A331" s="168" t="s">
        <v>22</v>
      </c>
      <c r="B331" s="196">
        <v>18.2202635327635</v>
      </c>
      <c r="C331" s="196">
        <v>37.813165364583298</v>
      </c>
      <c r="D331" s="196">
        <v>19.592901831819798</v>
      </c>
      <c r="E331" s="197">
        <v>0.51815026969868405</v>
      </c>
      <c r="G331" s="168" t="s">
        <v>22</v>
      </c>
      <c r="H331" s="196">
        <v>546.607905982906</v>
      </c>
      <c r="I331" s="196">
        <v>1134.3949609374999</v>
      </c>
      <c r="J331" s="196">
        <v>587.78705495459405</v>
      </c>
      <c r="K331" s="197">
        <v>0.51815026969868405</v>
      </c>
      <c r="L331" s="177"/>
      <c r="M331" s="168" t="s">
        <v>22</v>
      </c>
      <c r="N331" s="196">
        <v>170541.66666666701</v>
      </c>
      <c r="O331" s="196">
        <v>353931.22781249997</v>
      </c>
      <c r="P331" s="196">
        <v>183389.56114583299</v>
      </c>
      <c r="Q331" s="197">
        <v>0.51815026969868405</v>
      </c>
    </row>
    <row r="332" spans="1:17" s="163" customFormat="1" ht="18">
      <c r="A332" s="168" t="s">
        <v>23</v>
      </c>
      <c r="B332" s="196">
        <v>78.156517094017104</v>
      </c>
      <c r="C332" s="196">
        <v>44.492521367521398</v>
      </c>
      <c r="D332" s="196">
        <v>-33.663995726495699</v>
      </c>
      <c r="E332" s="197">
        <v>-0.756621443150438</v>
      </c>
      <c r="G332" s="168" t="s">
        <v>23</v>
      </c>
      <c r="H332" s="196">
        <v>2344.69551282051</v>
      </c>
      <c r="I332" s="196">
        <v>1334.77564102564</v>
      </c>
      <c r="J332" s="196">
        <v>-1009.91987179487</v>
      </c>
      <c r="K332" s="197">
        <v>-0.756621443150438</v>
      </c>
      <c r="L332" s="177"/>
      <c r="M332" s="168" t="s">
        <v>23</v>
      </c>
      <c r="N332" s="196">
        <v>731545</v>
      </c>
      <c r="O332" s="196">
        <v>416450</v>
      </c>
      <c r="P332" s="196">
        <v>-315095</v>
      </c>
      <c r="Q332" s="197">
        <v>-0.756621443150438</v>
      </c>
    </row>
    <row r="333" spans="1:17" s="163" customFormat="1" ht="18">
      <c r="A333" s="168" t="s">
        <v>24</v>
      </c>
      <c r="B333" s="196">
        <v>240.42018088888901</v>
      </c>
      <c r="C333" s="196">
        <v>276.03169082621099</v>
      </c>
      <c r="D333" s="196">
        <v>35.611509937321998</v>
      </c>
      <c r="E333" s="197">
        <v>0.12901239647784801</v>
      </c>
      <c r="G333" s="168" t="s">
        <v>24</v>
      </c>
      <c r="H333" s="196">
        <v>7212.6054266666697</v>
      </c>
      <c r="I333" s="196">
        <v>8280.9507247863294</v>
      </c>
      <c r="J333" s="196">
        <v>1068.3452981196599</v>
      </c>
      <c r="K333" s="197">
        <v>0.12901239647784801</v>
      </c>
      <c r="L333" s="177"/>
      <c r="M333" s="168" t="s">
        <v>24</v>
      </c>
      <c r="N333" s="196">
        <v>2250332.8931200001</v>
      </c>
      <c r="O333" s="196">
        <v>2583656.6261333302</v>
      </c>
      <c r="P333" s="196">
        <v>333323.73301333399</v>
      </c>
      <c r="Q333" s="197">
        <v>0.12901239647784801</v>
      </c>
    </row>
    <row r="334" spans="1:17" s="163" customFormat="1" ht="18">
      <c r="A334" s="171" t="s">
        <v>25</v>
      </c>
      <c r="B334" s="204">
        <v>0.67492603550295904</v>
      </c>
      <c r="C334" s="204">
        <v>2.0019723865877701</v>
      </c>
      <c r="D334" s="204">
        <v>1.3270463510848101</v>
      </c>
      <c r="E334" s="197">
        <v>0.66286945812807896</v>
      </c>
      <c r="G334" s="171" t="s">
        <v>25</v>
      </c>
      <c r="H334" s="196">
        <v>20.247781065088802</v>
      </c>
      <c r="I334" s="196">
        <v>60.059171597633103</v>
      </c>
      <c r="J334" s="196">
        <v>39.811390532544401</v>
      </c>
      <c r="K334" s="197">
        <v>0.66286945812807896</v>
      </c>
      <c r="L334" s="177"/>
      <c r="M334" s="171" t="s">
        <v>25</v>
      </c>
      <c r="N334" s="204">
        <v>6317.3076923076896</v>
      </c>
      <c r="O334" s="204">
        <v>18738.461538461499</v>
      </c>
      <c r="P334" s="204">
        <v>12421.1538461538</v>
      </c>
      <c r="Q334" s="197">
        <v>0.66286945812807896</v>
      </c>
    </row>
    <row r="335" spans="1:17" s="163" customFormat="1" ht="18">
      <c r="A335" s="171" t="s">
        <v>26</v>
      </c>
      <c r="B335" s="204">
        <v>5.30849358974359E-3</v>
      </c>
      <c r="C335" s="204">
        <v>2.13609467455621E-2</v>
      </c>
      <c r="D335" s="204">
        <v>1.6052453155818502E-2</v>
      </c>
      <c r="E335" s="197">
        <v>0.751486034164358</v>
      </c>
      <c r="G335" s="171" t="s">
        <v>26</v>
      </c>
      <c r="H335" s="196">
        <v>0.15925480769230799</v>
      </c>
      <c r="I335" s="196">
        <v>0.640828402366864</v>
      </c>
      <c r="J335" s="196">
        <v>0.48157359467455602</v>
      </c>
      <c r="K335" s="197">
        <v>0.751486034164358</v>
      </c>
      <c r="L335" s="177"/>
      <c r="M335" s="171" t="s">
        <v>26</v>
      </c>
      <c r="N335" s="204">
        <v>49.6875</v>
      </c>
      <c r="O335" s="204">
        <v>199.93846153846201</v>
      </c>
      <c r="P335" s="204">
        <v>150.25096153846201</v>
      </c>
      <c r="Q335" s="197">
        <v>0.751486034164358</v>
      </c>
    </row>
    <row r="336" spans="1:17" s="163" customFormat="1" ht="18">
      <c r="A336" s="171" t="s">
        <v>27</v>
      </c>
      <c r="B336" s="204">
        <v>5.0384615384615403E-2</v>
      </c>
      <c r="C336" s="204">
        <v>0.25192307692307703</v>
      </c>
      <c r="D336" s="204">
        <v>0.201538461538462</v>
      </c>
      <c r="E336" s="197">
        <v>0.8</v>
      </c>
      <c r="G336" s="171" t="s">
        <v>27</v>
      </c>
      <c r="H336" s="196">
        <v>1.5115384615384599</v>
      </c>
      <c r="I336" s="196">
        <v>7.5576923076923102</v>
      </c>
      <c r="J336" s="196">
        <v>6.0461538461538504</v>
      </c>
      <c r="K336" s="197">
        <v>0.8</v>
      </c>
      <c r="L336" s="177"/>
      <c r="M336" s="171" t="s">
        <v>27</v>
      </c>
      <c r="N336" s="204">
        <v>471.6</v>
      </c>
      <c r="O336" s="204">
        <v>2358</v>
      </c>
      <c r="P336" s="204">
        <v>1886.4</v>
      </c>
      <c r="Q336" s="197">
        <v>0.8</v>
      </c>
    </row>
    <row r="337" spans="1:17" s="172" customFormat="1" ht="18">
      <c r="A337" s="164" t="s">
        <v>28</v>
      </c>
      <c r="B337" s="205">
        <v>337.52758066014701</v>
      </c>
      <c r="C337" s="205">
        <v>360.61263396857203</v>
      </c>
      <c r="D337" s="205">
        <v>23.085053308425099</v>
      </c>
      <c r="E337" s="211">
        <v>6.4016207791646698E-2</v>
      </c>
      <c r="F337" s="163"/>
      <c r="G337" s="164" t="s">
        <v>28</v>
      </c>
      <c r="H337" s="205">
        <v>10125.8274198044</v>
      </c>
      <c r="I337" s="205">
        <v>10818.3790190572</v>
      </c>
      <c r="J337" s="205">
        <v>692.55159925275302</v>
      </c>
      <c r="K337" s="211">
        <v>6.4016207791646601E-2</v>
      </c>
      <c r="L337" s="177"/>
      <c r="M337" s="164" t="s">
        <v>28</v>
      </c>
      <c r="N337" s="205">
        <v>3159258.1549789701</v>
      </c>
      <c r="O337" s="205">
        <v>3375334.2539458298</v>
      </c>
      <c r="P337" s="205">
        <v>216076.09896685899</v>
      </c>
      <c r="Q337" s="211">
        <v>6.4016207791646698E-2</v>
      </c>
    </row>
    <row r="338" spans="1:17" s="163" customFormat="1" ht="18" hidden="1">
      <c r="A338" s="213" t="s">
        <v>29</v>
      </c>
      <c r="B338" s="214">
        <v>336.79696151566998</v>
      </c>
      <c r="C338" s="214">
        <v>358.33684337028097</v>
      </c>
      <c r="D338" s="214">
        <v>21.539881854611799</v>
      </c>
      <c r="E338" s="197">
        <v>6.0110709387351399E-2</v>
      </c>
      <c r="G338" s="213" t="s">
        <v>29</v>
      </c>
      <c r="H338" s="214">
        <v>10103.9088454701</v>
      </c>
      <c r="I338" s="214">
        <v>11115.06683957</v>
      </c>
      <c r="J338" s="214">
        <v>1011.1579940998899</v>
      </c>
      <c r="K338" s="197">
        <v>9.0971832081129703E-2</v>
      </c>
      <c r="L338" s="177"/>
      <c r="M338" s="213" t="s">
        <v>29</v>
      </c>
      <c r="N338" s="214">
        <v>3152419.5597866699</v>
      </c>
      <c r="O338" s="214">
        <v>3276054.0299794902</v>
      </c>
      <c r="P338" s="214">
        <v>123634.470192821</v>
      </c>
      <c r="Q338" s="197">
        <v>3.7738837351713399E-2</v>
      </c>
    </row>
    <row r="339" spans="1:17" s="163" customFormat="1" ht="18" hidden="1">
      <c r="A339" s="213" t="s">
        <v>30</v>
      </c>
      <c r="B339" s="214">
        <v>0.73061914447731802</v>
      </c>
      <c r="C339" s="214">
        <v>2.2752564102564099</v>
      </c>
      <c r="D339" s="214">
        <v>1.5446372657790901</v>
      </c>
      <c r="E339" s="197">
        <v>0.67888491987811606</v>
      </c>
      <c r="G339" s="213" t="s">
        <v>30</v>
      </c>
      <c r="H339" s="214">
        <v>21.918574334319501</v>
      </c>
      <c r="I339" s="214">
        <v>68.257692307692295</v>
      </c>
      <c r="J339" s="214">
        <v>46.339117973372801</v>
      </c>
      <c r="K339" s="197">
        <v>0.67888491987811606</v>
      </c>
      <c r="L339" s="177"/>
      <c r="M339" s="213" t="s">
        <v>30</v>
      </c>
      <c r="N339" s="214">
        <v>6838.59519230769</v>
      </c>
      <c r="O339" s="214">
        <v>21296.400000000001</v>
      </c>
      <c r="P339" s="214">
        <v>2036.65096153846</v>
      </c>
      <c r="Q339" s="197">
        <v>9.5633579456549503E-2</v>
      </c>
    </row>
    <row r="340" spans="1:17" s="163" customFormat="1" ht="18">
      <c r="A340" s="215"/>
      <c r="B340" s="215"/>
      <c r="C340" s="215"/>
      <c r="D340" s="215"/>
      <c r="E340" s="215"/>
      <c r="F340" s="215"/>
      <c r="G340" s="215"/>
      <c r="H340" s="215"/>
      <c r="I340" s="215"/>
      <c r="J340" s="215"/>
      <c r="K340" s="215"/>
      <c r="L340" s="215"/>
      <c r="M340" s="215"/>
      <c r="N340" s="215"/>
      <c r="O340" s="215"/>
      <c r="P340" s="215"/>
      <c r="Q340" s="215"/>
    </row>
    <row r="341" spans="1:17" s="163" customFormat="1" ht="18"/>
    <row r="342" spans="1:17" s="163" customFormat="1" ht="18">
      <c r="A342" s="178" t="s">
        <v>42</v>
      </c>
      <c r="B342" s="166" t="s">
        <v>8</v>
      </c>
      <c r="C342" s="166" t="s">
        <v>9</v>
      </c>
      <c r="D342" s="177"/>
      <c r="E342" s="177"/>
      <c r="F342" s="177"/>
      <c r="G342" s="178" t="s">
        <v>42</v>
      </c>
      <c r="H342" s="166" t="s">
        <v>8</v>
      </c>
      <c r="I342" s="166" t="s">
        <v>9</v>
      </c>
      <c r="J342" s="177"/>
      <c r="K342" s="177"/>
      <c r="L342" s="177"/>
      <c r="M342" s="178" t="s">
        <v>42</v>
      </c>
      <c r="N342" s="166" t="s">
        <v>8</v>
      </c>
      <c r="O342" s="166" t="s">
        <v>9</v>
      </c>
      <c r="P342" s="177"/>
    </row>
    <row r="343" spans="1:17" s="163" customFormat="1" ht="18">
      <c r="A343" s="200" t="s">
        <v>10</v>
      </c>
      <c r="B343" s="195">
        <v>40</v>
      </c>
      <c r="C343" s="195">
        <v>40</v>
      </c>
      <c r="D343" s="177"/>
      <c r="E343" s="201" t="s">
        <v>34</v>
      </c>
      <c r="F343" s="177"/>
      <c r="G343" s="200" t="s">
        <v>10</v>
      </c>
      <c r="H343" s="195">
        <v>40</v>
      </c>
      <c r="I343" s="195">
        <v>40</v>
      </c>
      <c r="J343" s="177"/>
      <c r="K343" s="201" t="s">
        <v>34</v>
      </c>
      <c r="L343" s="177"/>
      <c r="M343" s="200" t="s">
        <v>10</v>
      </c>
      <c r="N343" s="195">
        <v>40</v>
      </c>
      <c r="O343" s="195">
        <v>40</v>
      </c>
      <c r="P343" s="177"/>
      <c r="Q343" s="201" t="s">
        <v>34</v>
      </c>
    </row>
    <row r="344" spans="1:17" s="163" customFormat="1" ht="18">
      <c r="A344" s="165" t="s">
        <v>11</v>
      </c>
      <c r="B344" s="164" t="s">
        <v>12</v>
      </c>
      <c r="C344" s="164" t="s">
        <v>13</v>
      </c>
      <c r="D344" s="164" t="s">
        <v>14</v>
      </c>
      <c r="E344" s="164" t="s">
        <v>15</v>
      </c>
      <c r="G344" s="165" t="s">
        <v>11</v>
      </c>
      <c r="H344" s="164" t="s">
        <v>16</v>
      </c>
      <c r="I344" s="164" t="s">
        <v>17</v>
      </c>
      <c r="J344" s="164" t="s">
        <v>18</v>
      </c>
      <c r="K344" s="164" t="s">
        <v>15</v>
      </c>
      <c r="L344" s="177"/>
      <c r="M344" s="165" t="s">
        <v>11</v>
      </c>
      <c r="N344" s="164" t="s">
        <v>19</v>
      </c>
      <c r="O344" s="164" t="s">
        <v>20</v>
      </c>
      <c r="P344" s="164" t="s">
        <v>21</v>
      </c>
      <c r="Q344" s="164" t="s">
        <v>15</v>
      </c>
    </row>
    <row r="345" spans="1:17" s="163" customFormat="1" ht="18">
      <c r="A345" s="168" t="s">
        <v>22</v>
      </c>
      <c r="B345" s="196">
        <v>18.1590544871795</v>
      </c>
      <c r="C345" s="196">
        <v>37.813165364583298</v>
      </c>
      <c r="D345" s="196">
        <v>19.654110877403799</v>
      </c>
      <c r="E345" s="197">
        <v>0.51976899283370603</v>
      </c>
      <c r="G345" s="168" t="s">
        <v>22</v>
      </c>
      <c r="H345" s="196">
        <v>726.36217948718001</v>
      </c>
      <c r="I345" s="196">
        <v>1512.52661458333</v>
      </c>
      <c r="J345" s="196">
        <v>786.16443509615397</v>
      </c>
      <c r="K345" s="197">
        <v>0.51976899283370603</v>
      </c>
      <c r="L345" s="177"/>
      <c r="M345" s="168" t="s">
        <v>22</v>
      </c>
      <c r="N345" s="196">
        <v>226625</v>
      </c>
      <c r="O345" s="196">
        <v>471908.30375000002</v>
      </c>
      <c r="P345" s="196">
        <v>245283.30374999999</v>
      </c>
      <c r="Q345" s="197">
        <v>0.51976899283370603</v>
      </c>
    </row>
    <row r="346" spans="1:17" s="163" customFormat="1" ht="18">
      <c r="A346" s="168" t="s">
        <v>23</v>
      </c>
      <c r="B346" s="196">
        <v>71.070512820512803</v>
      </c>
      <c r="C346" s="196">
        <v>44.492521367521398</v>
      </c>
      <c r="D346" s="196">
        <v>-26.577991452991501</v>
      </c>
      <c r="E346" s="197">
        <v>-0.59735862648577298</v>
      </c>
      <c r="G346" s="168" t="s">
        <v>23</v>
      </c>
      <c r="H346" s="196">
        <v>2842.82051282051</v>
      </c>
      <c r="I346" s="196">
        <v>1779.70085470085</v>
      </c>
      <c r="J346" s="196">
        <v>-1063.11965811966</v>
      </c>
      <c r="K346" s="197">
        <v>-0.59735862648577298</v>
      </c>
      <c r="L346" s="177"/>
      <c r="M346" s="168" t="s">
        <v>23</v>
      </c>
      <c r="N346" s="196">
        <v>886960</v>
      </c>
      <c r="O346" s="196">
        <v>555266.66666666698</v>
      </c>
      <c r="P346" s="196">
        <v>-331693.33333333302</v>
      </c>
      <c r="Q346" s="197">
        <v>-0.59735862648577298</v>
      </c>
    </row>
    <row r="347" spans="1:17" s="163" customFormat="1" ht="18">
      <c r="A347" s="168" t="s">
        <v>24</v>
      </c>
      <c r="B347" s="196">
        <v>239.518255324786</v>
      </c>
      <c r="C347" s="196">
        <v>276.03169082621099</v>
      </c>
      <c r="D347" s="196">
        <v>36.513435501424503</v>
      </c>
      <c r="E347" s="197">
        <v>0.13227986754757601</v>
      </c>
      <c r="G347" s="168" t="s">
        <v>24</v>
      </c>
      <c r="H347" s="196">
        <v>9580.7302129914497</v>
      </c>
      <c r="I347" s="196">
        <v>11041.267633048399</v>
      </c>
      <c r="J347" s="196">
        <v>1460.53742005698</v>
      </c>
      <c r="K347" s="197">
        <v>0.13227986754757501</v>
      </c>
      <c r="L347" s="177"/>
      <c r="M347" s="168" t="s">
        <v>24</v>
      </c>
      <c r="N347" s="196">
        <v>2989187.82645333</v>
      </c>
      <c r="O347" s="196">
        <v>3444875.50151111</v>
      </c>
      <c r="P347" s="196">
        <v>455687.67505777802</v>
      </c>
      <c r="Q347" s="197">
        <v>0.13227986754757601</v>
      </c>
    </row>
    <row r="348" spans="1:17" s="163" customFormat="1" ht="18">
      <c r="A348" s="171" t="s">
        <v>25</v>
      </c>
      <c r="B348" s="204">
        <v>0.67492603550295904</v>
      </c>
      <c r="C348" s="204">
        <v>2.0019723865877701</v>
      </c>
      <c r="D348" s="204">
        <v>1.3270463510848101</v>
      </c>
      <c r="E348" s="197">
        <v>0.66286945812807896</v>
      </c>
      <c r="G348" s="171" t="s">
        <v>25</v>
      </c>
      <c r="H348" s="196">
        <v>26.9970414201183</v>
      </c>
      <c r="I348" s="196">
        <v>80.078895463510804</v>
      </c>
      <c r="J348" s="196">
        <v>53.081854043392497</v>
      </c>
      <c r="K348" s="197">
        <v>0.66286945812807896</v>
      </c>
      <c r="L348" s="177"/>
      <c r="M348" s="171" t="s">
        <v>25</v>
      </c>
      <c r="N348" s="204">
        <v>8423.0769230769201</v>
      </c>
      <c r="O348" s="204">
        <v>24984.615384615401</v>
      </c>
      <c r="P348" s="204">
        <v>16561.538461538501</v>
      </c>
      <c r="Q348" s="197">
        <v>0.66286945812807896</v>
      </c>
    </row>
    <row r="349" spans="1:17" s="163" customFormat="1" ht="18">
      <c r="A349" s="171" t="s">
        <v>26</v>
      </c>
      <c r="B349" s="204">
        <v>5.30849358974359E-3</v>
      </c>
      <c r="C349" s="204">
        <v>2.13609467455621E-2</v>
      </c>
      <c r="D349" s="204">
        <v>1.6052453155818502E-2</v>
      </c>
      <c r="E349" s="197">
        <v>0.751486034164358</v>
      </c>
      <c r="G349" s="171" t="s">
        <v>26</v>
      </c>
      <c r="H349" s="196">
        <v>0.212339743589744</v>
      </c>
      <c r="I349" s="196">
        <v>0.85443786982248504</v>
      </c>
      <c r="J349" s="196">
        <v>0.64209812623274098</v>
      </c>
      <c r="K349" s="197">
        <v>0.751486034164358</v>
      </c>
      <c r="L349" s="177"/>
      <c r="M349" s="171" t="s">
        <v>26</v>
      </c>
      <c r="N349" s="204">
        <v>66.25</v>
      </c>
      <c r="O349" s="204">
        <v>266.58461538461501</v>
      </c>
      <c r="P349" s="204">
        <v>200.33461538461501</v>
      </c>
      <c r="Q349" s="197">
        <v>0.751486034164358</v>
      </c>
    </row>
    <row r="350" spans="1:17" s="163" customFormat="1" ht="18">
      <c r="A350" s="171" t="s">
        <v>27</v>
      </c>
      <c r="B350" s="204">
        <v>3.77884615384615E-2</v>
      </c>
      <c r="C350" s="204">
        <v>0.18894230769230799</v>
      </c>
      <c r="D350" s="204">
        <v>0.151153846153846</v>
      </c>
      <c r="E350" s="197">
        <v>0.8</v>
      </c>
      <c r="G350" s="171" t="s">
        <v>27</v>
      </c>
      <c r="H350" s="196">
        <v>1.5115384615384599</v>
      </c>
      <c r="I350" s="196">
        <v>7.5576923076923102</v>
      </c>
      <c r="J350" s="196">
        <v>6.0461538461538504</v>
      </c>
      <c r="K350" s="197">
        <v>0.8</v>
      </c>
      <c r="L350" s="177"/>
      <c r="M350" s="171" t="s">
        <v>27</v>
      </c>
      <c r="N350" s="204">
        <v>471.6</v>
      </c>
      <c r="O350" s="204">
        <v>2358</v>
      </c>
      <c r="P350" s="204">
        <v>1886.4</v>
      </c>
      <c r="Q350" s="197">
        <v>0.8</v>
      </c>
    </row>
    <row r="351" spans="1:17" s="172" customFormat="1" ht="18">
      <c r="A351" s="164" t="s">
        <v>28</v>
      </c>
      <c r="B351" s="205">
        <v>329.46584562311</v>
      </c>
      <c r="C351" s="205">
        <v>360.54965319934098</v>
      </c>
      <c r="D351" s="205">
        <v>31.083807576231401</v>
      </c>
      <c r="E351" s="211">
        <v>8.62122797800772E-2</v>
      </c>
      <c r="F351" s="163"/>
      <c r="G351" s="164" t="s">
        <v>28</v>
      </c>
      <c r="H351" s="205">
        <v>13178.6338249244</v>
      </c>
      <c r="I351" s="205">
        <v>14421.9861279736</v>
      </c>
      <c r="J351" s="205">
        <v>1243.3523030492499</v>
      </c>
      <c r="K351" s="211">
        <v>8.6212279780077006E-2</v>
      </c>
      <c r="L351" s="177"/>
      <c r="M351" s="164" t="s">
        <v>28</v>
      </c>
      <c r="N351" s="205">
        <v>4111733.7533764099</v>
      </c>
      <c r="O351" s="205">
        <v>4499659.6719277799</v>
      </c>
      <c r="P351" s="205">
        <v>387925.918551368</v>
      </c>
      <c r="Q351" s="211">
        <v>8.62122797800772E-2</v>
      </c>
    </row>
    <row r="352" spans="1:17" s="163" customFormat="1" ht="18" hidden="1">
      <c r="A352" s="213" t="s">
        <v>29</v>
      </c>
      <c r="B352" s="214">
        <v>328.74782263247897</v>
      </c>
      <c r="C352" s="214">
        <v>358.33684337028097</v>
      </c>
      <c r="D352" s="214">
        <v>29.589020737802699</v>
      </c>
      <c r="E352" s="197">
        <v>8.2573202519472505E-2</v>
      </c>
      <c r="G352" s="213" t="s">
        <v>29</v>
      </c>
      <c r="H352" s="214">
        <v>13149.912905299099</v>
      </c>
      <c r="I352" s="214">
        <v>14820.089119426601</v>
      </c>
      <c r="J352" s="214">
        <v>1670.1762141274901</v>
      </c>
      <c r="K352" s="197">
        <v>0.112696772648835</v>
      </c>
      <c r="L352" s="177"/>
      <c r="M352" s="213" t="s">
        <v>29</v>
      </c>
      <c r="N352" s="214">
        <v>4102772.82645333</v>
      </c>
      <c r="O352" s="214">
        <v>4368072.0399726499</v>
      </c>
      <c r="P352" s="214">
        <v>265299.21351931698</v>
      </c>
      <c r="Q352" s="197">
        <v>6.0735997733447997E-2</v>
      </c>
    </row>
    <row r="353" spans="1:17" s="163" customFormat="1" ht="18" hidden="1">
      <c r="A353" s="213" t="s">
        <v>30</v>
      </c>
      <c r="B353" s="214">
        <v>0.71802299063116404</v>
      </c>
      <c r="C353" s="214">
        <v>2.2122756410256401</v>
      </c>
      <c r="D353" s="214">
        <v>1.49425265039448</v>
      </c>
      <c r="E353" s="197">
        <v>0.67543692236367103</v>
      </c>
      <c r="G353" s="213" t="s">
        <v>30</v>
      </c>
      <c r="H353" s="214">
        <v>28.720919625246601</v>
      </c>
      <c r="I353" s="214">
        <v>88.491025641025601</v>
      </c>
      <c r="J353" s="214">
        <v>59.770106015779099</v>
      </c>
      <c r="K353" s="197">
        <v>0.67543692236367103</v>
      </c>
      <c r="L353" s="177"/>
      <c r="M353" s="213" t="s">
        <v>30</v>
      </c>
      <c r="N353" s="214">
        <v>8960.9269230769205</v>
      </c>
      <c r="O353" s="214">
        <v>27609.200000000001</v>
      </c>
      <c r="P353" s="214">
        <v>2086.7346153846202</v>
      </c>
      <c r="Q353" s="197">
        <v>7.5581132933392303E-2</v>
      </c>
    </row>
    <row r="354" spans="1:17" s="163" customFormat="1" ht="18">
      <c r="A354" s="215"/>
      <c r="B354" s="215"/>
      <c r="C354" s="215"/>
      <c r="D354" s="215"/>
      <c r="E354" s="215"/>
      <c r="F354" s="215"/>
      <c r="G354" s="215"/>
      <c r="H354" s="215"/>
      <c r="I354" s="215"/>
      <c r="J354" s="215"/>
      <c r="K354" s="215"/>
      <c r="L354" s="215"/>
      <c r="M354" s="215"/>
      <c r="N354" s="215"/>
      <c r="O354" s="215"/>
      <c r="P354" s="215"/>
      <c r="Q354" s="215"/>
    </row>
    <row r="355" spans="1:17" s="163" customFormat="1" ht="18"/>
    <row r="356" spans="1:17" s="163" customFormat="1" ht="18">
      <c r="A356" s="178" t="s">
        <v>43</v>
      </c>
      <c r="B356" s="166" t="s">
        <v>8</v>
      </c>
      <c r="C356" s="166" t="s">
        <v>9</v>
      </c>
      <c r="D356" s="177"/>
      <c r="E356" s="177"/>
      <c r="F356" s="177"/>
      <c r="G356" s="178" t="s">
        <v>43</v>
      </c>
      <c r="H356" s="166" t="s">
        <v>8</v>
      </c>
      <c r="I356" s="166" t="s">
        <v>9</v>
      </c>
      <c r="J356" s="177"/>
      <c r="K356" s="177"/>
      <c r="L356" s="177"/>
      <c r="M356" s="178" t="s">
        <v>43</v>
      </c>
      <c r="N356" s="166" t="s">
        <v>8</v>
      </c>
      <c r="O356" s="166" t="s">
        <v>9</v>
      </c>
      <c r="P356" s="177"/>
    </row>
    <row r="357" spans="1:17" s="163" customFormat="1" ht="18">
      <c r="A357" s="200" t="s">
        <v>10</v>
      </c>
      <c r="B357" s="195">
        <v>50</v>
      </c>
      <c r="C357" s="195">
        <v>50</v>
      </c>
      <c r="D357" s="177"/>
      <c r="E357" s="201" t="s">
        <v>34</v>
      </c>
      <c r="F357" s="177"/>
      <c r="G357" s="200" t="s">
        <v>10</v>
      </c>
      <c r="H357" s="195">
        <v>50</v>
      </c>
      <c r="I357" s="195">
        <v>50</v>
      </c>
      <c r="J357" s="177"/>
      <c r="K357" s="201" t="s">
        <v>34</v>
      </c>
      <c r="L357" s="177"/>
      <c r="M357" s="200" t="s">
        <v>10</v>
      </c>
      <c r="N357" s="195">
        <v>50</v>
      </c>
      <c r="O357" s="195">
        <v>50</v>
      </c>
      <c r="P357" s="177"/>
      <c r="Q357" s="201" t="s">
        <v>34</v>
      </c>
    </row>
    <row r="358" spans="1:17" s="163" customFormat="1" ht="18">
      <c r="A358" s="165" t="s">
        <v>11</v>
      </c>
      <c r="B358" s="164" t="s">
        <v>12</v>
      </c>
      <c r="C358" s="164" t="s">
        <v>13</v>
      </c>
      <c r="D358" s="164" t="s">
        <v>14</v>
      </c>
      <c r="E358" s="164" t="s">
        <v>15</v>
      </c>
      <c r="G358" s="165" t="s">
        <v>11</v>
      </c>
      <c r="H358" s="164" t="s">
        <v>16</v>
      </c>
      <c r="I358" s="164" t="s">
        <v>17</v>
      </c>
      <c r="J358" s="164" t="s">
        <v>18</v>
      </c>
      <c r="K358" s="164" t="s">
        <v>15</v>
      </c>
      <c r="L358" s="177"/>
      <c r="M358" s="165" t="s">
        <v>11</v>
      </c>
      <c r="N358" s="164" t="s">
        <v>19</v>
      </c>
      <c r="O358" s="164" t="s">
        <v>20</v>
      </c>
      <c r="P358" s="164" t="s">
        <v>21</v>
      </c>
      <c r="Q358" s="164" t="s">
        <v>15</v>
      </c>
    </row>
    <row r="359" spans="1:17" s="163" customFormat="1" ht="18">
      <c r="A359" s="168" t="s">
        <v>22</v>
      </c>
      <c r="B359" s="196">
        <v>18.122329059829099</v>
      </c>
      <c r="C359" s="196">
        <v>37.813165364583298</v>
      </c>
      <c r="D359" s="196">
        <v>19.690836304754299</v>
      </c>
      <c r="E359" s="197">
        <v>0.52074022671471898</v>
      </c>
      <c r="G359" s="168" t="s">
        <v>22</v>
      </c>
      <c r="H359" s="196">
        <v>906.116452991453</v>
      </c>
      <c r="I359" s="196">
        <v>1890.6582682291701</v>
      </c>
      <c r="J359" s="196">
        <v>984.54181523771399</v>
      </c>
      <c r="K359" s="197">
        <v>0.52074022671471898</v>
      </c>
      <c r="L359" s="177"/>
      <c r="M359" s="168" t="s">
        <v>22</v>
      </c>
      <c r="N359" s="196">
        <v>282708.33333333302</v>
      </c>
      <c r="O359" s="196">
        <v>589885.37968749995</v>
      </c>
      <c r="P359" s="196">
        <v>307177.04635416699</v>
      </c>
      <c r="Q359" s="197">
        <v>0.52074022671471898</v>
      </c>
    </row>
    <row r="360" spans="1:17" s="163" customFormat="1" ht="18">
      <c r="A360" s="168" t="s">
        <v>23</v>
      </c>
      <c r="B360" s="196">
        <v>66.818910256410305</v>
      </c>
      <c r="C360" s="196">
        <v>44.492521367521398</v>
      </c>
      <c r="D360" s="196">
        <v>-22.3263888888889</v>
      </c>
      <c r="E360" s="197">
        <v>-0.50180093648697399</v>
      </c>
      <c r="G360" s="168" t="s">
        <v>23</v>
      </c>
      <c r="H360" s="196">
        <v>3340.94551282051</v>
      </c>
      <c r="I360" s="196">
        <v>2224.6260683760702</v>
      </c>
      <c r="J360" s="196">
        <v>-1116.31944444444</v>
      </c>
      <c r="K360" s="197">
        <v>-0.50180093648697299</v>
      </c>
      <c r="L360" s="177"/>
      <c r="M360" s="168" t="s">
        <v>23</v>
      </c>
      <c r="N360" s="196">
        <v>1042375</v>
      </c>
      <c r="O360" s="196">
        <v>694083.33333333302</v>
      </c>
      <c r="P360" s="196">
        <v>-348291.66666666698</v>
      </c>
      <c r="Q360" s="197">
        <v>-0.50180093648697299</v>
      </c>
    </row>
    <row r="361" spans="1:17" s="163" customFormat="1" ht="18">
      <c r="A361" s="168" t="s">
        <v>24</v>
      </c>
      <c r="B361" s="196">
        <v>237.63094614017101</v>
      </c>
      <c r="C361" s="196">
        <v>276.03169082621099</v>
      </c>
      <c r="D361" s="196">
        <v>38.4007446860399</v>
      </c>
      <c r="E361" s="197">
        <v>0.13911715923305701</v>
      </c>
      <c r="G361" s="168" t="s">
        <v>24</v>
      </c>
      <c r="H361" s="196">
        <v>11881.547307008501</v>
      </c>
      <c r="I361" s="196">
        <v>13801.5845413105</v>
      </c>
      <c r="J361" s="196">
        <v>1920.0372343019901</v>
      </c>
      <c r="K361" s="197">
        <v>0.13911715923305701</v>
      </c>
      <c r="L361" s="177"/>
      <c r="M361" s="168" t="s">
        <v>24</v>
      </c>
      <c r="N361" s="196">
        <v>3707042.7597866701</v>
      </c>
      <c r="O361" s="196">
        <v>4306094.3768888898</v>
      </c>
      <c r="P361" s="196">
        <v>599051.61710222205</v>
      </c>
      <c r="Q361" s="197">
        <v>0.13911715923305701</v>
      </c>
    </row>
    <row r="362" spans="1:17" s="163" customFormat="1" ht="18">
      <c r="A362" s="171" t="s">
        <v>25</v>
      </c>
      <c r="B362" s="204">
        <v>0.67492603550295804</v>
      </c>
      <c r="C362" s="204">
        <v>2.0019723865877701</v>
      </c>
      <c r="D362" s="204">
        <v>1.3270463510848101</v>
      </c>
      <c r="E362" s="197">
        <v>0.66286945812807896</v>
      </c>
      <c r="G362" s="171" t="s">
        <v>25</v>
      </c>
      <c r="H362" s="196">
        <v>33.746301775147899</v>
      </c>
      <c r="I362" s="196">
        <v>100.098619329389</v>
      </c>
      <c r="J362" s="196">
        <v>66.352317554240599</v>
      </c>
      <c r="K362" s="197">
        <v>0.66286945812807896</v>
      </c>
      <c r="L362" s="177"/>
      <c r="M362" s="171" t="s">
        <v>25</v>
      </c>
      <c r="N362" s="204">
        <v>10528.8461538462</v>
      </c>
      <c r="O362" s="204">
        <v>31230.769230769201</v>
      </c>
      <c r="P362" s="204">
        <v>20701.9230769231</v>
      </c>
      <c r="Q362" s="197">
        <v>0.66286945812807896</v>
      </c>
    </row>
    <row r="363" spans="1:17" s="163" customFormat="1" ht="18">
      <c r="A363" s="171" t="s">
        <v>26</v>
      </c>
      <c r="B363" s="204">
        <v>5.30849358974359E-3</v>
      </c>
      <c r="C363" s="204">
        <v>2.13609467455621E-2</v>
      </c>
      <c r="D363" s="204">
        <v>1.6052453155818502E-2</v>
      </c>
      <c r="E363" s="197">
        <v>0.751486034164358</v>
      </c>
      <c r="G363" s="171" t="s">
        <v>26</v>
      </c>
      <c r="H363" s="196">
        <v>0.26542467948718002</v>
      </c>
      <c r="I363" s="196">
        <v>1.0680473372781101</v>
      </c>
      <c r="J363" s="196">
        <v>0.80262265779092701</v>
      </c>
      <c r="K363" s="197">
        <v>0.751486034164358</v>
      </c>
      <c r="L363" s="177"/>
      <c r="M363" s="171" t="s">
        <v>26</v>
      </c>
      <c r="N363" s="204">
        <v>82.8125</v>
      </c>
      <c r="O363" s="204">
        <v>333.230769230769</v>
      </c>
      <c r="P363" s="204">
        <v>250.418269230769</v>
      </c>
      <c r="Q363" s="197">
        <v>0.751486034164358</v>
      </c>
    </row>
    <row r="364" spans="1:17" s="163" customFormat="1" ht="18">
      <c r="A364" s="171" t="s">
        <v>27</v>
      </c>
      <c r="B364" s="204">
        <v>3.02307692307692E-2</v>
      </c>
      <c r="C364" s="204">
        <v>0.151153846153846</v>
      </c>
      <c r="D364" s="204">
        <v>0.12092307692307699</v>
      </c>
      <c r="E364" s="197">
        <v>0.8</v>
      </c>
      <c r="G364" s="171" t="s">
        <v>27</v>
      </c>
      <c r="H364" s="196">
        <v>1.5115384615384599</v>
      </c>
      <c r="I364" s="196">
        <v>7.5576923076923102</v>
      </c>
      <c r="J364" s="196">
        <v>6.0461538461538504</v>
      </c>
      <c r="K364" s="197">
        <v>0.8</v>
      </c>
      <c r="L364" s="177"/>
      <c r="M364" s="171" t="s">
        <v>27</v>
      </c>
      <c r="N364" s="204">
        <v>471.6</v>
      </c>
      <c r="O364" s="204">
        <v>2358</v>
      </c>
      <c r="P364" s="204">
        <v>1886.4</v>
      </c>
      <c r="Q364" s="197">
        <v>0.8</v>
      </c>
    </row>
    <row r="365" spans="1:17" s="172" customFormat="1" ht="18">
      <c r="A365" s="164" t="s">
        <v>28</v>
      </c>
      <c r="B365" s="205">
        <v>323.28265075473399</v>
      </c>
      <c r="C365" s="205">
        <v>360.51186473780302</v>
      </c>
      <c r="D365" s="205">
        <v>37.229213983069002</v>
      </c>
      <c r="E365" s="211">
        <v>0.10326765253661099</v>
      </c>
      <c r="F365" s="163"/>
      <c r="G365" s="164" t="s">
        <v>28</v>
      </c>
      <c r="H365" s="205">
        <v>16164.132537736699</v>
      </c>
      <c r="I365" s="205">
        <v>18025.593236890101</v>
      </c>
      <c r="J365" s="205">
        <v>1861.4606991534499</v>
      </c>
      <c r="K365" s="211">
        <v>0.10326765253661099</v>
      </c>
      <c r="L365" s="177"/>
      <c r="M365" s="164" t="s">
        <v>28</v>
      </c>
      <c r="N365" s="205">
        <v>5043209.3517738497</v>
      </c>
      <c r="O365" s="205">
        <v>5623985.0899097202</v>
      </c>
      <c r="P365" s="205">
        <v>580775.73813587602</v>
      </c>
      <c r="Q365" s="211">
        <v>0.10326765253661099</v>
      </c>
    </row>
    <row r="366" spans="1:17" s="163" customFormat="1" ht="18" hidden="1">
      <c r="A366" s="213" t="s">
        <v>29</v>
      </c>
      <c r="B366" s="214">
        <v>322.57218545641001</v>
      </c>
      <c r="C366" s="214">
        <v>358.33684337028097</v>
      </c>
      <c r="D366" s="214">
        <v>35.764657913871098</v>
      </c>
      <c r="E366" s="197">
        <v>9.9807370008320004E-2</v>
      </c>
      <c r="G366" s="213" t="s">
        <v>29</v>
      </c>
      <c r="H366" s="214">
        <v>16128.6092728205</v>
      </c>
      <c r="I366" s="214">
        <v>18525.111399283302</v>
      </c>
      <c r="J366" s="214">
        <v>2396.5021264627799</v>
      </c>
      <c r="K366" s="197">
        <v>0.12936505885495</v>
      </c>
      <c r="L366" s="177"/>
      <c r="M366" s="213" t="s">
        <v>29</v>
      </c>
      <c r="N366" s="214">
        <v>5032126.0931200003</v>
      </c>
      <c r="O366" s="214">
        <v>5460090.04996581</v>
      </c>
      <c r="P366" s="214">
        <v>427963.95684581198</v>
      </c>
      <c r="Q366" s="197">
        <v>7.8380384376351406E-2</v>
      </c>
    </row>
    <row r="367" spans="1:17" s="163" customFormat="1" ht="18" hidden="1">
      <c r="A367" s="213" t="s">
        <v>30</v>
      </c>
      <c r="B367" s="214">
        <v>0.71046529832347105</v>
      </c>
      <c r="C367" s="214">
        <v>2.1744871794871798</v>
      </c>
      <c r="D367" s="214">
        <v>1.46402188116371</v>
      </c>
      <c r="E367" s="197">
        <v>0.67327225240710598</v>
      </c>
      <c r="G367" s="213" t="s">
        <v>30</v>
      </c>
      <c r="H367" s="214">
        <v>35.523264916173602</v>
      </c>
      <c r="I367" s="214">
        <v>108.72435897435901</v>
      </c>
      <c r="J367" s="214">
        <v>73.201094058185404</v>
      </c>
      <c r="K367" s="197">
        <v>0.67327225240710598</v>
      </c>
      <c r="L367" s="177"/>
      <c r="M367" s="213" t="s">
        <v>30</v>
      </c>
      <c r="N367" s="214">
        <v>11083.2586538462</v>
      </c>
      <c r="O367" s="214">
        <v>33922</v>
      </c>
      <c r="P367" s="214">
        <v>2136.8182692307701</v>
      </c>
      <c r="Q367" s="197">
        <v>6.2992107459193702E-2</v>
      </c>
    </row>
    <row r="368" spans="1:17" s="163" customFormat="1" ht="18">
      <c r="A368" s="215"/>
      <c r="B368" s="215"/>
      <c r="C368" s="215"/>
      <c r="D368" s="215"/>
      <c r="E368" s="215"/>
      <c r="F368" s="215"/>
      <c r="G368" s="215"/>
      <c r="H368" s="215"/>
      <c r="I368" s="215"/>
      <c r="J368" s="215"/>
      <c r="K368" s="215"/>
      <c r="L368" s="215"/>
      <c r="M368" s="215"/>
      <c r="N368" s="215"/>
      <c r="O368" s="215"/>
      <c r="P368" s="215"/>
      <c r="Q368" s="215"/>
    </row>
    <row r="369" spans="1:17" s="163" customFormat="1" ht="18"/>
    <row r="370" spans="1:17" s="163" customFormat="1" ht="18">
      <c r="A370" s="178" t="s">
        <v>44</v>
      </c>
      <c r="B370" s="166" t="s">
        <v>8</v>
      </c>
      <c r="C370" s="166" t="s">
        <v>9</v>
      </c>
      <c r="D370" s="177"/>
      <c r="E370" s="177"/>
      <c r="F370" s="177"/>
      <c r="G370" s="178" t="s">
        <v>44</v>
      </c>
      <c r="H370" s="166" t="s">
        <v>8</v>
      </c>
      <c r="I370" s="166" t="s">
        <v>9</v>
      </c>
      <c r="J370" s="177"/>
      <c r="K370" s="177"/>
      <c r="L370" s="177"/>
      <c r="M370" s="178" t="s">
        <v>44</v>
      </c>
      <c r="N370" s="166" t="s">
        <v>8</v>
      </c>
      <c r="O370" s="166" t="s">
        <v>9</v>
      </c>
      <c r="P370" s="177"/>
    </row>
    <row r="371" spans="1:17" s="163" customFormat="1" ht="18">
      <c r="A371" s="200" t="s">
        <v>10</v>
      </c>
      <c r="B371" s="195">
        <v>60</v>
      </c>
      <c r="C371" s="195">
        <v>60</v>
      </c>
      <c r="D371" s="177"/>
      <c r="E371" s="201" t="s">
        <v>34</v>
      </c>
      <c r="F371" s="177"/>
      <c r="G371" s="200" t="s">
        <v>10</v>
      </c>
      <c r="H371" s="195">
        <v>60</v>
      </c>
      <c r="I371" s="195">
        <v>60</v>
      </c>
      <c r="J371" s="177"/>
      <c r="K371" s="201" t="s">
        <v>34</v>
      </c>
      <c r="L371" s="177"/>
      <c r="M371" s="200" t="s">
        <v>10</v>
      </c>
      <c r="N371" s="195">
        <v>60</v>
      </c>
      <c r="O371" s="195">
        <v>60</v>
      </c>
      <c r="P371" s="177"/>
      <c r="Q371" s="201" t="s">
        <v>34</v>
      </c>
    </row>
    <row r="372" spans="1:17" s="163" customFormat="1" ht="18">
      <c r="A372" s="165" t="s">
        <v>11</v>
      </c>
      <c r="B372" s="164" t="s">
        <v>12</v>
      </c>
      <c r="C372" s="164" t="s">
        <v>13</v>
      </c>
      <c r="D372" s="164" t="s">
        <v>14</v>
      </c>
      <c r="E372" s="164" t="s">
        <v>15</v>
      </c>
      <c r="G372" s="165" t="s">
        <v>11</v>
      </c>
      <c r="H372" s="164" t="s">
        <v>16</v>
      </c>
      <c r="I372" s="164" t="s">
        <v>17</v>
      </c>
      <c r="J372" s="164" t="s">
        <v>18</v>
      </c>
      <c r="K372" s="164" t="s">
        <v>15</v>
      </c>
      <c r="L372" s="177"/>
      <c r="M372" s="165" t="s">
        <v>11</v>
      </c>
      <c r="N372" s="164" t="s">
        <v>19</v>
      </c>
      <c r="O372" s="164" t="s">
        <v>20</v>
      </c>
      <c r="P372" s="164" t="s">
        <v>21</v>
      </c>
      <c r="Q372" s="164" t="s">
        <v>15</v>
      </c>
    </row>
    <row r="373" spans="1:17" s="163" customFormat="1" ht="18">
      <c r="A373" s="168" t="s">
        <v>22</v>
      </c>
      <c r="B373" s="196">
        <v>18.0978454415954</v>
      </c>
      <c r="C373" s="196">
        <v>37.813165364583298</v>
      </c>
      <c r="D373" s="196">
        <v>19.715319922987899</v>
      </c>
      <c r="E373" s="197">
        <v>0.52138771596872702</v>
      </c>
      <c r="G373" s="168" t="s">
        <v>22</v>
      </c>
      <c r="H373" s="196">
        <v>1085.87072649573</v>
      </c>
      <c r="I373" s="196">
        <v>2268.7899218749999</v>
      </c>
      <c r="J373" s="196">
        <v>1182.9191953792699</v>
      </c>
      <c r="K373" s="197">
        <v>0.52138771596872702</v>
      </c>
      <c r="L373" s="177"/>
      <c r="M373" s="168" t="s">
        <v>22</v>
      </c>
      <c r="N373" s="196">
        <v>338791.66666666698</v>
      </c>
      <c r="O373" s="196">
        <v>707862.45562499994</v>
      </c>
      <c r="P373" s="196">
        <v>369070.78895833303</v>
      </c>
      <c r="Q373" s="197">
        <v>0.52138771596872702</v>
      </c>
    </row>
    <row r="374" spans="1:17" s="163" customFormat="1" ht="18">
      <c r="A374" s="168" t="s">
        <v>23</v>
      </c>
      <c r="B374" s="196">
        <v>63.984508547008502</v>
      </c>
      <c r="C374" s="196">
        <v>44.492521367521398</v>
      </c>
      <c r="D374" s="196">
        <v>-19.4919871794872</v>
      </c>
      <c r="E374" s="197">
        <v>-0.43809580982110702</v>
      </c>
      <c r="G374" s="168" t="s">
        <v>23</v>
      </c>
      <c r="H374" s="196">
        <v>3839.07051282051</v>
      </c>
      <c r="I374" s="196">
        <v>2669.5512820512799</v>
      </c>
      <c r="J374" s="196">
        <v>-1169.51923076923</v>
      </c>
      <c r="K374" s="197">
        <v>-0.43809580982110702</v>
      </c>
      <c r="L374" s="177"/>
      <c r="M374" s="168" t="s">
        <v>23</v>
      </c>
      <c r="N374" s="196">
        <v>1197790</v>
      </c>
      <c r="O374" s="196">
        <v>832900</v>
      </c>
      <c r="P374" s="196">
        <v>-364890</v>
      </c>
      <c r="Q374" s="197">
        <v>-0.43809580982110702</v>
      </c>
    </row>
    <row r="375" spans="1:17" s="163" customFormat="1" ht="18">
      <c r="A375" s="168" t="s">
        <v>24</v>
      </c>
      <c r="B375" s="196">
        <v>236.372740017094</v>
      </c>
      <c r="C375" s="196">
        <v>276.03169082621099</v>
      </c>
      <c r="D375" s="196">
        <v>39.658950809116803</v>
      </c>
      <c r="E375" s="197">
        <v>0.143675353690044</v>
      </c>
      <c r="G375" s="168" t="s">
        <v>24</v>
      </c>
      <c r="H375" s="196">
        <v>14182.364401025599</v>
      </c>
      <c r="I375" s="196">
        <v>16561.901449572699</v>
      </c>
      <c r="J375" s="196">
        <v>2379.5370485470098</v>
      </c>
      <c r="K375" s="197">
        <v>0.143675353690044</v>
      </c>
      <c r="L375" s="177"/>
      <c r="M375" s="168" t="s">
        <v>24</v>
      </c>
      <c r="N375" s="196">
        <v>4424897.69312</v>
      </c>
      <c r="O375" s="196">
        <v>5167313.2522666696</v>
      </c>
      <c r="P375" s="196">
        <v>742415.55914666795</v>
      </c>
      <c r="Q375" s="197">
        <v>0.143675353690045</v>
      </c>
    </row>
    <row r="376" spans="1:17" s="163" customFormat="1" ht="18">
      <c r="A376" s="171" t="s">
        <v>25</v>
      </c>
      <c r="B376" s="204">
        <v>0.67492603550295904</v>
      </c>
      <c r="C376" s="204">
        <v>2.0019723865877701</v>
      </c>
      <c r="D376" s="204">
        <v>1.3270463510848101</v>
      </c>
      <c r="E376" s="197">
        <v>0.66286945812807896</v>
      </c>
      <c r="G376" s="171" t="s">
        <v>25</v>
      </c>
      <c r="H376" s="196">
        <v>40.495562130177497</v>
      </c>
      <c r="I376" s="196">
        <v>120.11834319526599</v>
      </c>
      <c r="J376" s="196">
        <v>79.622781065088802</v>
      </c>
      <c r="K376" s="197">
        <v>0.66286945812807896</v>
      </c>
      <c r="L376" s="177"/>
      <c r="M376" s="171" t="s">
        <v>25</v>
      </c>
      <c r="N376" s="204">
        <v>12634.615384615399</v>
      </c>
      <c r="O376" s="204">
        <v>37476.9230769231</v>
      </c>
      <c r="P376" s="204">
        <v>24842.307692307699</v>
      </c>
      <c r="Q376" s="197">
        <v>0.66286945812807896</v>
      </c>
    </row>
    <row r="377" spans="1:17" s="163" customFormat="1" ht="18">
      <c r="A377" s="171" t="s">
        <v>26</v>
      </c>
      <c r="B377" s="204">
        <v>5.30849358974359E-3</v>
      </c>
      <c r="C377" s="204">
        <v>2.13609467455621E-2</v>
      </c>
      <c r="D377" s="204">
        <v>1.6052453155818502E-2</v>
      </c>
      <c r="E377" s="197">
        <v>0.751486034164358</v>
      </c>
      <c r="G377" s="171" t="s">
        <v>26</v>
      </c>
      <c r="H377" s="196">
        <v>0.31850961538461497</v>
      </c>
      <c r="I377" s="196">
        <v>1.28165680473373</v>
      </c>
      <c r="J377" s="196">
        <v>0.96314718934911303</v>
      </c>
      <c r="K377" s="197">
        <v>0.751486034164358</v>
      </c>
      <c r="L377" s="177"/>
      <c r="M377" s="171" t="s">
        <v>26</v>
      </c>
      <c r="N377" s="204">
        <v>99.375</v>
      </c>
      <c r="O377" s="204">
        <v>399.87692307692299</v>
      </c>
      <c r="P377" s="204">
        <v>300.50192307692299</v>
      </c>
      <c r="Q377" s="197">
        <v>0.751486034164358</v>
      </c>
    </row>
    <row r="378" spans="1:17" s="163" customFormat="1" ht="18">
      <c r="A378" s="171" t="s">
        <v>27</v>
      </c>
      <c r="B378" s="204">
        <v>2.5192307692307701E-2</v>
      </c>
      <c r="C378" s="204">
        <v>0.12596153846153799</v>
      </c>
      <c r="D378" s="204">
        <v>0.100769230769231</v>
      </c>
      <c r="E378" s="197">
        <v>0.8</v>
      </c>
      <c r="G378" s="171" t="s">
        <v>27</v>
      </c>
      <c r="H378" s="196">
        <v>1.5115384615384599</v>
      </c>
      <c r="I378" s="196">
        <v>7.5576923076923102</v>
      </c>
      <c r="J378" s="196">
        <v>6.0461538461538504</v>
      </c>
      <c r="K378" s="197">
        <v>0.8</v>
      </c>
      <c r="L378" s="177"/>
      <c r="M378" s="171" t="s">
        <v>27</v>
      </c>
      <c r="N378" s="204">
        <v>471.6</v>
      </c>
      <c r="O378" s="204">
        <v>2358</v>
      </c>
      <c r="P378" s="204">
        <v>1886.4</v>
      </c>
      <c r="Q378" s="197">
        <v>0.8</v>
      </c>
    </row>
    <row r="379" spans="1:17" s="172" customFormat="1" ht="18">
      <c r="A379" s="164" t="s">
        <v>28</v>
      </c>
      <c r="B379" s="205">
        <v>319.16052084248298</v>
      </c>
      <c r="C379" s="205">
        <v>360.48667243010999</v>
      </c>
      <c r="D379" s="205">
        <v>41.3261515876274</v>
      </c>
      <c r="E379" s="211">
        <v>0.114639887541583</v>
      </c>
      <c r="F379" s="163"/>
      <c r="G379" s="164" t="s">
        <v>28</v>
      </c>
      <c r="H379" s="205">
        <v>19149.631250548999</v>
      </c>
      <c r="I379" s="205">
        <v>21629.200345806599</v>
      </c>
      <c r="J379" s="205">
        <v>2479.5690952576401</v>
      </c>
      <c r="K379" s="211">
        <v>0.114639887541583</v>
      </c>
      <c r="L379" s="177"/>
      <c r="M379" s="164" t="s">
        <v>28</v>
      </c>
      <c r="N379" s="205">
        <v>5974684.9501712797</v>
      </c>
      <c r="O379" s="205">
        <v>6748310.5078916699</v>
      </c>
      <c r="P379" s="205">
        <v>773625.55772038596</v>
      </c>
      <c r="Q379" s="211">
        <v>0.114639887541583</v>
      </c>
    </row>
    <row r="380" spans="1:17" s="163" customFormat="1" ht="18" hidden="1">
      <c r="A380" s="213" t="s">
        <v>29</v>
      </c>
      <c r="B380" s="214">
        <v>318.45509400569802</v>
      </c>
      <c r="C380" s="214">
        <v>358.33684337028097</v>
      </c>
      <c r="D380" s="214">
        <v>39.8817493645833</v>
      </c>
      <c r="E380" s="197">
        <v>0.11129681500088499</v>
      </c>
      <c r="G380" s="213" t="s">
        <v>29</v>
      </c>
      <c r="H380" s="214">
        <v>19107.3056403419</v>
      </c>
      <c r="I380" s="214">
        <v>22230.133679139999</v>
      </c>
      <c r="J380" s="214">
        <v>3122.8280387980799</v>
      </c>
      <c r="K380" s="197">
        <v>0.140477249659026</v>
      </c>
      <c r="L380" s="177"/>
      <c r="M380" s="213" t="s">
        <v>29</v>
      </c>
      <c r="N380" s="214">
        <v>5961479.3597866697</v>
      </c>
      <c r="O380" s="214">
        <v>6552108.0599589804</v>
      </c>
      <c r="P380" s="214">
        <v>590628.70017230895</v>
      </c>
      <c r="Q380" s="197">
        <v>9.0143308804953803E-2</v>
      </c>
    </row>
    <row r="381" spans="1:17" s="163" customFormat="1" ht="18" hidden="1">
      <c r="A381" s="213" t="s">
        <v>30</v>
      </c>
      <c r="B381" s="214">
        <v>0.70542683678500995</v>
      </c>
      <c r="C381" s="214">
        <v>2.1492948717948699</v>
      </c>
      <c r="D381" s="214">
        <v>1.4438680350098601</v>
      </c>
      <c r="E381" s="197">
        <v>0.67178685156592299</v>
      </c>
      <c r="G381" s="213" t="s">
        <v>30</v>
      </c>
      <c r="H381" s="214">
        <v>42.325610207100603</v>
      </c>
      <c r="I381" s="214">
        <v>128.95769230769201</v>
      </c>
      <c r="J381" s="214">
        <v>86.632082100591703</v>
      </c>
      <c r="K381" s="197">
        <v>0.67178685156592299</v>
      </c>
      <c r="L381" s="177"/>
      <c r="M381" s="213" t="s">
        <v>30</v>
      </c>
      <c r="N381" s="214">
        <v>13205.5903846154</v>
      </c>
      <c r="O381" s="214">
        <v>40234.800000000003</v>
      </c>
      <c r="P381" s="214">
        <v>2186.90192307692</v>
      </c>
      <c r="Q381" s="197">
        <v>5.4353493072587002E-2</v>
      </c>
    </row>
    <row r="382" spans="1:17" s="163" customFormat="1" ht="18">
      <c r="A382" s="215"/>
      <c r="B382" s="215"/>
      <c r="C382" s="215"/>
      <c r="D382" s="215"/>
      <c r="E382" s="215"/>
      <c r="F382" s="215"/>
      <c r="G382" s="215"/>
      <c r="H382" s="215"/>
      <c r="I382" s="215"/>
      <c r="J382" s="215"/>
      <c r="K382" s="215"/>
      <c r="L382" s="215"/>
      <c r="M382" s="215"/>
      <c r="N382" s="215"/>
      <c r="O382" s="215"/>
      <c r="P382" s="215"/>
      <c r="Q382" s="215"/>
    </row>
    <row r="383" spans="1:17" s="163" customFormat="1" ht="18"/>
    <row r="384" spans="1:17" s="163" customFormat="1" ht="18">
      <c r="A384" s="178" t="s">
        <v>45</v>
      </c>
      <c r="B384" s="166" t="s">
        <v>8</v>
      </c>
      <c r="C384" s="166" t="s">
        <v>9</v>
      </c>
      <c r="D384" s="177"/>
      <c r="E384" s="177"/>
      <c r="F384" s="177"/>
      <c r="G384" s="178" t="s">
        <v>45</v>
      </c>
      <c r="H384" s="166" t="s">
        <v>8</v>
      </c>
      <c r="I384" s="166" t="s">
        <v>9</v>
      </c>
      <c r="J384" s="177"/>
      <c r="K384" s="177"/>
      <c r="L384" s="177"/>
      <c r="M384" s="178" t="s">
        <v>45</v>
      </c>
      <c r="N384" s="166" t="s">
        <v>8</v>
      </c>
      <c r="O384" s="166" t="s">
        <v>9</v>
      </c>
      <c r="P384" s="177"/>
    </row>
    <row r="385" spans="1:17" s="163" customFormat="1" ht="18">
      <c r="A385" s="200" t="s">
        <v>10</v>
      </c>
      <c r="B385" s="195">
        <v>70</v>
      </c>
      <c r="C385" s="195">
        <v>70</v>
      </c>
      <c r="D385" s="177"/>
      <c r="E385" s="201" t="s">
        <v>34</v>
      </c>
      <c r="F385" s="177"/>
      <c r="G385" s="200" t="s">
        <v>10</v>
      </c>
      <c r="H385" s="195">
        <v>70</v>
      </c>
      <c r="I385" s="195">
        <v>70</v>
      </c>
      <c r="J385" s="177"/>
      <c r="K385" s="201" t="s">
        <v>34</v>
      </c>
      <c r="L385" s="177"/>
      <c r="M385" s="200" t="s">
        <v>10</v>
      </c>
      <c r="N385" s="195">
        <v>70</v>
      </c>
      <c r="O385" s="195">
        <v>70</v>
      </c>
      <c r="P385" s="177"/>
      <c r="Q385" s="201" t="s">
        <v>34</v>
      </c>
    </row>
    <row r="386" spans="1:17" s="163" customFormat="1" ht="18">
      <c r="A386" s="165" t="s">
        <v>11</v>
      </c>
      <c r="B386" s="164" t="s">
        <v>12</v>
      </c>
      <c r="C386" s="164" t="s">
        <v>13</v>
      </c>
      <c r="D386" s="164" t="s">
        <v>14</v>
      </c>
      <c r="E386" s="164" t="s">
        <v>15</v>
      </c>
      <c r="G386" s="165" t="s">
        <v>11</v>
      </c>
      <c r="H386" s="164" t="s">
        <v>16</v>
      </c>
      <c r="I386" s="164" t="s">
        <v>17</v>
      </c>
      <c r="J386" s="164" t="s">
        <v>18</v>
      </c>
      <c r="K386" s="164" t="s">
        <v>15</v>
      </c>
      <c r="L386" s="177"/>
      <c r="M386" s="165" t="s">
        <v>11</v>
      </c>
      <c r="N386" s="164" t="s">
        <v>19</v>
      </c>
      <c r="O386" s="164" t="s">
        <v>20</v>
      </c>
      <c r="P386" s="164" t="s">
        <v>21</v>
      </c>
      <c r="Q386" s="164" t="s">
        <v>15</v>
      </c>
    </row>
    <row r="387" spans="1:17" s="163" customFormat="1" ht="18">
      <c r="A387" s="168" t="s">
        <v>22</v>
      </c>
      <c r="B387" s="196">
        <v>18.0803571428571</v>
      </c>
      <c r="C387" s="196">
        <v>37.813165364583298</v>
      </c>
      <c r="D387" s="196">
        <v>19.732808221726199</v>
      </c>
      <c r="E387" s="197">
        <v>0.52185020829301898</v>
      </c>
      <c r="G387" s="168" t="s">
        <v>22</v>
      </c>
      <c r="H387" s="196">
        <v>1265.625</v>
      </c>
      <c r="I387" s="196">
        <v>2646.9215755208302</v>
      </c>
      <c r="J387" s="196">
        <v>1381.2965755208299</v>
      </c>
      <c r="K387" s="197">
        <v>0.52185020829301898</v>
      </c>
      <c r="L387" s="177"/>
      <c r="M387" s="168" t="s">
        <v>22</v>
      </c>
      <c r="N387" s="196">
        <v>394875</v>
      </c>
      <c r="O387" s="196">
        <v>825839.53156250005</v>
      </c>
      <c r="P387" s="196">
        <v>430964.53156249999</v>
      </c>
      <c r="Q387" s="197">
        <v>0.52185020829301898</v>
      </c>
    </row>
    <row r="388" spans="1:17" s="163" customFormat="1" ht="18">
      <c r="A388" s="168" t="s">
        <v>23</v>
      </c>
      <c r="B388" s="196">
        <v>61.959935897435898</v>
      </c>
      <c r="C388" s="196">
        <v>44.492521367521398</v>
      </c>
      <c r="D388" s="196">
        <v>-17.4674145299145</v>
      </c>
      <c r="E388" s="197">
        <v>-0.39259214791691699</v>
      </c>
      <c r="G388" s="168" t="s">
        <v>23</v>
      </c>
      <c r="H388" s="196">
        <v>4337.19551282051</v>
      </c>
      <c r="I388" s="196">
        <v>3114.4764957265002</v>
      </c>
      <c r="J388" s="196">
        <v>-1222.71901709402</v>
      </c>
      <c r="K388" s="197">
        <v>-0.39259214791691699</v>
      </c>
      <c r="L388" s="177"/>
      <c r="M388" s="168" t="s">
        <v>23</v>
      </c>
      <c r="N388" s="196">
        <v>1353205</v>
      </c>
      <c r="O388" s="196">
        <v>971716.66666666698</v>
      </c>
      <c r="P388" s="196">
        <v>-381488.33333333302</v>
      </c>
      <c r="Q388" s="197">
        <v>-0.39259214791691699</v>
      </c>
    </row>
    <row r="389" spans="1:17" s="163" customFormat="1" ht="18">
      <c r="A389" s="168" t="s">
        <v>24</v>
      </c>
      <c r="B389" s="196">
        <v>236.435559819292</v>
      </c>
      <c r="C389" s="196">
        <v>276.03169082621099</v>
      </c>
      <c r="D389" s="196">
        <v>39.596131006919002</v>
      </c>
      <c r="E389" s="197">
        <v>0.14344777184243199</v>
      </c>
      <c r="G389" s="168" t="s">
        <v>24</v>
      </c>
      <c r="H389" s="196">
        <v>16550.489187350398</v>
      </c>
      <c r="I389" s="196">
        <v>19322.218357834801</v>
      </c>
      <c r="J389" s="196">
        <v>2771.7291704843401</v>
      </c>
      <c r="K389" s="197">
        <v>0.14344777184243199</v>
      </c>
      <c r="L389" s="177"/>
      <c r="M389" s="168" t="s">
        <v>24</v>
      </c>
      <c r="N389" s="196">
        <v>5163752.6264533298</v>
      </c>
      <c r="O389" s="196">
        <v>6028532.1276444402</v>
      </c>
      <c r="P389" s="196">
        <v>864779.50119111</v>
      </c>
      <c r="Q389" s="197">
        <v>0.14344777184243199</v>
      </c>
    </row>
    <row r="390" spans="1:17" s="163" customFormat="1" ht="18">
      <c r="A390" s="171" t="s">
        <v>25</v>
      </c>
      <c r="B390" s="204">
        <v>0.67492603550295904</v>
      </c>
      <c r="C390" s="204">
        <v>2.0019723865877701</v>
      </c>
      <c r="D390" s="204">
        <v>1.3270463510848101</v>
      </c>
      <c r="E390" s="197">
        <v>0.66286945812807896</v>
      </c>
      <c r="G390" s="171" t="s">
        <v>25</v>
      </c>
      <c r="H390" s="196">
        <v>47.244822485207102</v>
      </c>
      <c r="I390" s="196">
        <v>140.138067061144</v>
      </c>
      <c r="J390" s="196">
        <v>92.893244575936905</v>
      </c>
      <c r="K390" s="197">
        <v>0.66286945812807896</v>
      </c>
      <c r="L390" s="177"/>
      <c r="M390" s="171" t="s">
        <v>25</v>
      </c>
      <c r="N390" s="204">
        <v>14740.384615384601</v>
      </c>
      <c r="O390" s="204">
        <v>43723.0769230769</v>
      </c>
      <c r="P390" s="204">
        <v>28982.692307692301</v>
      </c>
      <c r="Q390" s="197">
        <v>0.66286945812807896</v>
      </c>
    </row>
    <row r="391" spans="1:17" s="163" customFormat="1" ht="18">
      <c r="A391" s="171" t="s">
        <v>26</v>
      </c>
      <c r="B391" s="204">
        <v>5.30849358974359E-3</v>
      </c>
      <c r="C391" s="204">
        <v>2.13609467455621E-2</v>
      </c>
      <c r="D391" s="204">
        <v>1.6052453155818502E-2</v>
      </c>
      <c r="E391" s="197">
        <v>0.751486034164358</v>
      </c>
      <c r="G391" s="171" t="s">
        <v>26</v>
      </c>
      <c r="H391" s="196">
        <v>0.37159455128205099</v>
      </c>
      <c r="I391" s="196">
        <v>1.4952662721893499</v>
      </c>
      <c r="J391" s="196">
        <v>1.1236717209072999</v>
      </c>
      <c r="K391" s="197">
        <v>0.751486034164358</v>
      </c>
      <c r="L391" s="177"/>
      <c r="M391" s="171" t="s">
        <v>26</v>
      </c>
      <c r="N391" s="204">
        <v>115.9375</v>
      </c>
      <c r="O391" s="204">
        <v>466.52307692307699</v>
      </c>
      <c r="P391" s="204">
        <v>350.58557692307699</v>
      </c>
      <c r="Q391" s="197">
        <v>0.751486034164358</v>
      </c>
    </row>
    <row r="392" spans="1:17" s="163" customFormat="1" ht="18">
      <c r="A392" s="171" t="s">
        <v>27</v>
      </c>
      <c r="B392" s="204">
        <v>2.1593406593406601E-2</v>
      </c>
      <c r="C392" s="204">
        <v>0.107967032967033</v>
      </c>
      <c r="D392" s="204">
        <v>8.6373626373626403E-2</v>
      </c>
      <c r="E392" s="197">
        <v>0.8</v>
      </c>
      <c r="G392" s="171" t="s">
        <v>27</v>
      </c>
      <c r="H392" s="196">
        <v>1.5115384615384599</v>
      </c>
      <c r="I392" s="196">
        <v>7.5576923076923102</v>
      </c>
      <c r="J392" s="196">
        <v>6.0461538461538504</v>
      </c>
      <c r="K392" s="197">
        <v>0.8</v>
      </c>
      <c r="L392" s="177"/>
      <c r="M392" s="171" t="s">
        <v>27</v>
      </c>
      <c r="N392" s="204">
        <v>471.6</v>
      </c>
      <c r="O392" s="204">
        <v>2358</v>
      </c>
      <c r="P392" s="204">
        <v>1886.4</v>
      </c>
      <c r="Q392" s="197">
        <v>0.8</v>
      </c>
    </row>
    <row r="393" spans="1:17" s="172" customFormat="1" ht="18">
      <c r="A393" s="164" t="s">
        <v>28</v>
      </c>
      <c r="B393" s="205">
        <v>317.17768079527099</v>
      </c>
      <c r="C393" s="205">
        <v>360.46867792461597</v>
      </c>
      <c r="D393" s="205">
        <v>43.290997129344902</v>
      </c>
      <c r="E393" s="211">
        <v>0.120096418303502</v>
      </c>
      <c r="F393" s="163"/>
      <c r="G393" s="164" t="s">
        <v>28</v>
      </c>
      <c r="H393" s="205">
        <v>22202.437655669</v>
      </c>
      <c r="I393" s="205">
        <v>25232.807454723101</v>
      </c>
      <c r="J393" s="205">
        <v>3030.36979905415</v>
      </c>
      <c r="K393" s="211">
        <v>0.120096418303502</v>
      </c>
      <c r="L393" s="177"/>
      <c r="M393" s="164" t="s">
        <v>28</v>
      </c>
      <c r="N393" s="205">
        <v>6927160.54856872</v>
      </c>
      <c r="O393" s="205">
        <v>7872635.9258736102</v>
      </c>
      <c r="P393" s="205">
        <v>945475.37730489206</v>
      </c>
      <c r="Q393" s="211">
        <v>0.120096418303502</v>
      </c>
    </row>
    <row r="394" spans="1:17" s="163" customFormat="1" ht="18" hidden="1">
      <c r="A394" s="213" t="s">
        <v>29</v>
      </c>
      <c r="B394" s="214">
        <f>SUM(B387:B389)</f>
        <v>316.47585285958502</v>
      </c>
      <c r="C394" s="214">
        <f>SUM(C387:C389)</f>
        <v>358.33737755831601</v>
      </c>
      <c r="D394" s="214">
        <f>SUM(D387:D389)</f>
        <v>41.861524698730697</v>
      </c>
      <c r="E394" s="197">
        <f>D394/C394</f>
        <v>0.11682154115200601</v>
      </c>
      <c r="G394" s="213" t="s">
        <v>29</v>
      </c>
      <c r="H394" s="214">
        <f>SUM(H387:H389)</f>
        <v>22153.309700170899</v>
      </c>
      <c r="I394" s="214">
        <f>SUM(I387:I389)</f>
        <v>25083.6164290821</v>
      </c>
      <c r="J394" s="214">
        <f>SUM(J387:J389)</f>
        <v>2930.30672891115</v>
      </c>
      <c r="K394" s="197">
        <f>J394/I394</f>
        <v>0.11682154115200601</v>
      </c>
      <c r="L394" s="177"/>
      <c r="M394" s="213" t="s">
        <v>29</v>
      </c>
      <c r="N394" s="214">
        <f>SUM(N387:N389)</f>
        <v>6911832.6264533298</v>
      </c>
      <c r="O394" s="214">
        <f>SUM(O387:O389)</f>
        <v>7826088.3258736096</v>
      </c>
      <c r="P394" s="214">
        <f>SUM(P387:P389)</f>
        <v>914255.69942027703</v>
      </c>
      <c r="Q394" s="197">
        <f>P394/O394</f>
        <v>0.11682154115200601</v>
      </c>
    </row>
    <row r="395" spans="1:17" s="163" customFormat="1" ht="18" hidden="1">
      <c r="A395" s="213" t="s">
        <v>30</v>
      </c>
      <c r="B395" s="214">
        <f>SUM(B390:B392)</f>
        <v>0.70182793568610902</v>
      </c>
      <c r="C395" s="214">
        <f>SUM(C390:C392)</f>
        <v>2.13130036630037</v>
      </c>
      <c r="D395" s="214">
        <f>SUM(D390:D392)</f>
        <v>1.4294724306142601</v>
      </c>
      <c r="E395" s="197">
        <f>D395/C395</f>
        <v>0.67070435177356902</v>
      </c>
      <c r="G395" s="213" t="s">
        <v>30</v>
      </c>
      <c r="H395" s="214">
        <f>SUM(H390:H392)</f>
        <v>49.127955498027603</v>
      </c>
      <c r="I395" s="214">
        <f>SUM(I390:I392)</f>
        <v>149.19102564102599</v>
      </c>
      <c r="J395" s="214">
        <f>SUM(J390:J392)</f>
        <v>100.063070142998</v>
      </c>
      <c r="K395" s="197">
        <f>J395/I395</f>
        <v>0.67070435177356902</v>
      </c>
      <c r="L395" s="177"/>
      <c r="M395" s="213" t="s">
        <v>30</v>
      </c>
      <c r="N395" s="214">
        <f>SUM(N390:N392)</f>
        <v>15327.922115384599</v>
      </c>
      <c r="O395" s="214">
        <f>SUM(O390:O392)</f>
        <v>46547.6</v>
      </c>
      <c r="P395" s="214">
        <f>SUM(P390:P392)</f>
        <v>31219.677884615401</v>
      </c>
      <c r="Q395" s="197">
        <f>P395/O395</f>
        <v>0.67070435177356902</v>
      </c>
    </row>
    <row r="396" spans="1:17" s="163" customFormat="1" ht="18">
      <c r="A396" s="215"/>
      <c r="B396" s="215"/>
      <c r="C396" s="215"/>
      <c r="D396" s="215"/>
      <c r="E396" s="215"/>
      <c r="F396" s="215"/>
      <c r="G396" s="215"/>
      <c r="H396" s="215"/>
      <c r="I396" s="215"/>
      <c r="J396" s="215"/>
      <c r="K396" s="215"/>
      <c r="L396" s="215"/>
      <c r="M396" s="215"/>
      <c r="N396" s="215"/>
      <c r="O396" s="215"/>
      <c r="P396" s="215"/>
      <c r="Q396" s="215"/>
    </row>
    <row r="397" spans="1:17" s="163" customFormat="1" ht="18"/>
    <row r="398" spans="1:17" s="163" customFormat="1" ht="18">
      <c r="A398" s="178" t="s">
        <v>46</v>
      </c>
      <c r="B398" s="166" t="s">
        <v>8</v>
      </c>
      <c r="C398" s="166" t="s">
        <v>9</v>
      </c>
      <c r="D398" s="177"/>
      <c r="E398" s="177"/>
      <c r="F398" s="177"/>
      <c r="G398" s="178" t="s">
        <v>46</v>
      </c>
      <c r="H398" s="166" t="s">
        <v>8</v>
      </c>
      <c r="I398" s="166" t="s">
        <v>9</v>
      </c>
      <c r="J398" s="177"/>
      <c r="K398" s="177"/>
      <c r="L398" s="177"/>
      <c r="M398" s="178" t="s">
        <v>46</v>
      </c>
      <c r="N398" s="166" t="s">
        <v>8</v>
      </c>
      <c r="O398" s="166" t="s">
        <v>9</v>
      </c>
      <c r="P398" s="177"/>
    </row>
    <row r="399" spans="1:17" s="163" customFormat="1" ht="18">
      <c r="A399" s="200" t="s">
        <v>10</v>
      </c>
      <c r="B399" s="195">
        <v>80</v>
      </c>
      <c r="C399" s="195">
        <v>80</v>
      </c>
      <c r="D399" s="177"/>
      <c r="E399" s="201" t="s">
        <v>34</v>
      </c>
      <c r="F399" s="177"/>
      <c r="G399" s="200" t="s">
        <v>10</v>
      </c>
      <c r="H399" s="195">
        <v>80</v>
      </c>
      <c r="I399" s="195">
        <v>80</v>
      </c>
      <c r="J399" s="177"/>
      <c r="K399" s="201" t="s">
        <v>34</v>
      </c>
      <c r="L399" s="177"/>
      <c r="M399" s="200" t="s">
        <v>10</v>
      </c>
      <c r="N399" s="195">
        <v>80</v>
      </c>
      <c r="O399" s="195">
        <v>80</v>
      </c>
      <c r="P399" s="177"/>
      <c r="Q399" s="201" t="s">
        <v>34</v>
      </c>
    </row>
    <row r="400" spans="1:17" s="163" customFormat="1" ht="18">
      <c r="A400" s="165" t="s">
        <v>11</v>
      </c>
      <c r="B400" s="164" t="s">
        <v>12</v>
      </c>
      <c r="C400" s="164" t="s">
        <v>13</v>
      </c>
      <c r="D400" s="164" t="s">
        <v>14</v>
      </c>
      <c r="E400" s="164" t="s">
        <v>15</v>
      </c>
      <c r="G400" s="165" t="s">
        <v>11</v>
      </c>
      <c r="H400" s="164" t="s">
        <v>16</v>
      </c>
      <c r="I400" s="164" t="s">
        <v>17</v>
      </c>
      <c r="J400" s="164" t="s">
        <v>18</v>
      </c>
      <c r="K400" s="164" t="s">
        <v>15</v>
      </c>
      <c r="L400" s="177"/>
      <c r="M400" s="165" t="s">
        <v>11</v>
      </c>
      <c r="N400" s="164" t="s">
        <v>19</v>
      </c>
      <c r="O400" s="164" t="s">
        <v>20</v>
      </c>
      <c r="P400" s="164" t="s">
        <v>21</v>
      </c>
      <c r="Q400" s="164" t="s">
        <v>15</v>
      </c>
    </row>
    <row r="401" spans="1:17" s="163" customFormat="1" ht="18">
      <c r="A401" s="168" t="s">
        <v>22</v>
      </c>
      <c r="B401" s="196">
        <v>18.0672409188034</v>
      </c>
      <c r="C401" s="196">
        <v>37.813165364583298</v>
      </c>
      <c r="D401" s="196">
        <v>19.745924445779899</v>
      </c>
      <c r="E401" s="197">
        <v>0.52219707753623801</v>
      </c>
      <c r="G401" s="168" t="s">
        <v>22</v>
      </c>
      <c r="H401" s="196">
        <v>1445.37927350427</v>
      </c>
      <c r="I401" s="196">
        <v>3025.05322916667</v>
      </c>
      <c r="J401" s="196">
        <v>1579.67395566239</v>
      </c>
      <c r="K401" s="197">
        <v>0.52219707753623801</v>
      </c>
      <c r="L401" s="177"/>
      <c r="M401" s="168" t="s">
        <v>22</v>
      </c>
      <c r="N401" s="196">
        <v>450958.33333333302</v>
      </c>
      <c r="O401" s="196">
        <v>943816.60750000004</v>
      </c>
      <c r="P401" s="196">
        <v>492858.27416666702</v>
      </c>
      <c r="Q401" s="197">
        <v>0.52219707753623801</v>
      </c>
    </row>
    <row r="402" spans="1:17" s="163" customFormat="1" ht="18">
      <c r="A402" s="168" t="s">
        <v>23</v>
      </c>
      <c r="B402" s="196">
        <v>60.441506410256402</v>
      </c>
      <c r="C402" s="196">
        <v>44.492521367521398</v>
      </c>
      <c r="D402" s="196">
        <v>-15.948985042735</v>
      </c>
      <c r="E402" s="197">
        <v>-0.35846440148877401</v>
      </c>
      <c r="G402" s="168" t="s">
        <v>23</v>
      </c>
      <c r="H402" s="196">
        <v>4835.32051282051</v>
      </c>
      <c r="I402" s="196">
        <v>3559.4017094017099</v>
      </c>
      <c r="J402" s="196">
        <v>-1275.9188034188001</v>
      </c>
      <c r="K402" s="197">
        <v>-0.35846440148877401</v>
      </c>
      <c r="L402" s="177"/>
      <c r="M402" s="168" t="s">
        <v>23</v>
      </c>
      <c r="N402" s="196">
        <v>1508620</v>
      </c>
      <c r="O402" s="196">
        <v>1110533.33333333</v>
      </c>
      <c r="P402" s="196">
        <v>-398086.66666666698</v>
      </c>
      <c r="Q402" s="197">
        <v>-0.35846440148877401</v>
      </c>
    </row>
    <row r="403" spans="1:17" s="163" customFormat="1" ht="18">
      <c r="A403" s="168" t="s">
        <v>24</v>
      </c>
      <c r="B403" s="196">
        <v>235.641328517094</v>
      </c>
      <c r="C403" s="196">
        <v>276.03169082621099</v>
      </c>
      <c r="D403" s="196">
        <v>40.390362309116803</v>
      </c>
      <c r="E403" s="197">
        <v>0.14632509110900099</v>
      </c>
      <c r="G403" s="168" t="s">
        <v>24</v>
      </c>
      <c r="H403" s="196">
        <v>18851.306281367499</v>
      </c>
      <c r="I403" s="196">
        <v>22082.5352660969</v>
      </c>
      <c r="J403" s="196">
        <v>3231.22898472934</v>
      </c>
      <c r="K403" s="197">
        <v>0.14632509110900099</v>
      </c>
      <c r="L403" s="177"/>
      <c r="M403" s="168" t="s">
        <v>24</v>
      </c>
      <c r="N403" s="196">
        <v>5881607.5597866699</v>
      </c>
      <c r="O403" s="196">
        <v>6889751.00302222</v>
      </c>
      <c r="P403" s="196">
        <v>1008143.44323556</v>
      </c>
      <c r="Q403" s="197">
        <v>0.14632509110900099</v>
      </c>
    </row>
    <row r="404" spans="1:17" s="163" customFormat="1" ht="18">
      <c r="A404" s="171" t="s">
        <v>25</v>
      </c>
      <c r="B404" s="204">
        <v>0.67492603550295904</v>
      </c>
      <c r="C404" s="204">
        <v>2.0019723865877701</v>
      </c>
      <c r="D404" s="204">
        <v>1.3270463510848101</v>
      </c>
      <c r="E404" s="197">
        <v>0.66286945812807896</v>
      </c>
      <c r="G404" s="171" t="s">
        <v>25</v>
      </c>
      <c r="H404" s="196">
        <v>53.9940828402367</v>
      </c>
      <c r="I404" s="196">
        <v>160.15779092702201</v>
      </c>
      <c r="J404" s="196">
        <v>106.16370808678499</v>
      </c>
      <c r="K404" s="197">
        <v>0.66286945812807896</v>
      </c>
      <c r="L404" s="177"/>
      <c r="M404" s="171" t="s">
        <v>25</v>
      </c>
      <c r="N404" s="204">
        <v>16846.1538461538</v>
      </c>
      <c r="O404" s="204">
        <v>49969.230769230802</v>
      </c>
      <c r="P404" s="204">
        <v>33123.0769230769</v>
      </c>
      <c r="Q404" s="197">
        <v>0.66286945812807896</v>
      </c>
    </row>
    <row r="405" spans="1:17" s="163" customFormat="1" ht="18">
      <c r="A405" s="171" t="s">
        <v>26</v>
      </c>
      <c r="B405" s="204">
        <v>5.30849358974359E-3</v>
      </c>
      <c r="C405" s="204">
        <v>2.13609467455621E-2</v>
      </c>
      <c r="D405" s="204">
        <v>1.6052453155818502E-2</v>
      </c>
      <c r="E405" s="197">
        <v>0.751486034164358</v>
      </c>
      <c r="G405" s="171" t="s">
        <v>26</v>
      </c>
      <c r="H405" s="196">
        <v>0.424679487179487</v>
      </c>
      <c r="I405" s="196">
        <v>1.7088757396449701</v>
      </c>
      <c r="J405" s="196">
        <v>1.28419625246548</v>
      </c>
      <c r="K405" s="197">
        <v>0.751486034164358</v>
      </c>
      <c r="L405" s="177"/>
      <c r="M405" s="171" t="s">
        <v>26</v>
      </c>
      <c r="N405" s="204">
        <v>132.5</v>
      </c>
      <c r="O405" s="204">
        <v>533.16923076923104</v>
      </c>
      <c r="P405" s="204">
        <v>400.66923076923098</v>
      </c>
      <c r="Q405" s="197">
        <v>0.751486034164358</v>
      </c>
    </row>
    <row r="406" spans="1:17" s="163" customFormat="1" ht="18">
      <c r="A406" s="171" t="s">
        <v>27</v>
      </c>
      <c r="B406" s="204">
        <v>1.8894230769230799E-2</v>
      </c>
      <c r="C406" s="204">
        <v>9.4471153846153802E-2</v>
      </c>
      <c r="D406" s="204">
        <v>7.5576923076923097E-2</v>
      </c>
      <c r="E406" s="197">
        <v>0.8</v>
      </c>
      <c r="G406" s="171" t="s">
        <v>27</v>
      </c>
      <c r="H406" s="196">
        <v>1.5115384615384599</v>
      </c>
      <c r="I406" s="196">
        <v>7.5576923076923102</v>
      </c>
      <c r="J406" s="196">
        <v>6.0461538461538504</v>
      </c>
      <c r="K406" s="197">
        <v>0.8</v>
      </c>
      <c r="L406" s="177"/>
      <c r="M406" s="171" t="s">
        <v>27</v>
      </c>
      <c r="N406" s="204">
        <v>471.6</v>
      </c>
      <c r="O406" s="204">
        <v>2358</v>
      </c>
      <c r="P406" s="204">
        <v>1886.4</v>
      </c>
      <c r="Q406" s="197">
        <v>0.8</v>
      </c>
    </row>
    <row r="407" spans="1:17" s="172" customFormat="1" ht="18">
      <c r="A407" s="164" t="s">
        <v>28</v>
      </c>
      <c r="B407" s="205">
        <v>314.84920460601597</v>
      </c>
      <c r="C407" s="205">
        <v>360.45518204549501</v>
      </c>
      <c r="D407" s="205">
        <v>45.605977439479197</v>
      </c>
      <c r="E407" s="211">
        <v>0.12652329529756401</v>
      </c>
      <c r="F407" s="163"/>
      <c r="G407" s="164" t="s">
        <v>28</v>
      </c>
      <c r="H407" s="205">
        <v>25187.9363684813</v>
      </c>
      <c r="I407" s="205">
        <v>28836.414563639599</v>
      </c>
      <c r="J407" s="205">
        <v>3648.47819515834</v>
      </c>
      <c r="K407" s="211">
        <v>0.12652329529756401</v>
      </c>
      <c r="L407" s="177"/>
      <c r="M407" s="164" t="s">
        <v>28</v>
      </c>
      <c r="N407" s="205">
        <v>7858636.14696615</v>
      </c>
      <c r="O407" s="205">
        <v>8996961.3438555505</v>
      </c>
      <c r="P407" s="205">
        <v>1138325.1968894</v>
      </c>
      <c r="Q407" s="211">
        <v>0.12652329529756401</v>
      </c>
    </row>
    <row r="408" spans="1:17" s="163" customFormat="1" ht="18" hidden="1">
      <c r="A408" s="213" t="s">
        <v>29</v>
      </c>
      <c r="B408" s="214">
        <v>314.15007584615398</v>
      </c>
      <c r="C408" s="214">
        <v>358.33684337028097</v>
      </c>
      <c r="D408" s="214">
        <v>44.186767524127497</v>
      </c>
      <c r="E408" s="197">
        <v>0.12331070148560699</v>
      </c>
      <c r="G408" s="213" t="s">
        <v>29</v>
      </c>
      <c r="H408" s="214">
        <v>25132.006067692299</v>
      </c>
      <c r="I408" s="214">
        <v>29640.178238853299</v>
      </c>
      <c r="J408" s="214">
        <v>4508.1721711609698</v>
      </c>
      <c r="K408" s="197">
        <v>0.15209666199819</v>
      </c>
      <c r="L408" s="177"/>
      <c r="M408" s="213" t="s">
        <v>29</v>
      </c>
      <c r="N408" s="214">
        <v>7841185.8931200001</v>
      </c>
      <c r="O408" s="214">
        <v>8736144.0799452998</v>
      </c>
      <c r="P408" s="214">
        <v>894958.18682529905</v>
      </c>
      <c r="Q408" s="197">
        <v>0.102443157832042</v>
      </c>
    </row>
    <row r="409" spans="1:17" s="163" customFormat="1" ht="18" hidden="1">
      <c r="A409" s="213" t="s">
        <v>30</v>
      </c>
      <c r="B409" s="214">
        <v>0.69912875986193301</v>
      </c>
      <c r="C409" s="214">
        <v>2.1178044871794901</v>
      </c>
      <c r="D409" s="214">
        <v>1.4186757273175501</v>
      </c>
      <c r="E409" s="197">
        <v>0.66988040487484302</v>
      </c>
      <c r="G409" s="213" t="s">
        <v>30</v>
      </c>
      <c r="H409" s="214">
        <v>55.930300788954597</v>
      </c>
      <c r="I409" s="214">
        <v>169.424358974359</v>
      </c>
      <c r="J409" s="214">
        <v>113.494058185404</v>
      </c>
      <c r="K409" s="197">
        <v>0.66988040487484302</v>
      </c>
      <c r="L409" s="177"/>
      <c r="M409" s="213" t="s">
        <v>30</v>
      </c>
      <c r="N409" s="214">
        <v>17450.253846153799</v>
      </c>
      <c r="O409" s="214">
        <v>52860.4</v>
      </c>
      <c r="P409" s="214">
        <v>2287.0692307692302</v>
      </c>
      <c r="Q409" s="197">
        <v>4.3266211204781503E-2</v>
      </c>
    </row>
    <row r="410" spans="1:17" s="163" customFormat="1" ht="18">
      <c r="A410" s="215"/>
      <c r="B410" s="215"/>
      <c r="C410" s="215"/>
      <c r="D410" s="215"/>
      <c r="E410" s="215"/>
      <c r="F410" s="215"/>
      <c r="G410" s="215"/>
      <c r="H410" s="215"/>
      <c r="I410" s="215"/>
      <c r="J410" s="215"/>
      <c r="K410" s="215"/>
      <c r="L410" s="215"/>
      <c r="M410" s="215"/>
      <c r="N410" s="215"/>
      <c r="O410" s="215"/>
      <c r="P410" s="215"/>
      <c r="Q410" s="215"/>
    </row>
    <row r="411" spans="1:17" s="163" customFormat="1" ht="18"/>
    <row r="412" spans="1:17" s="163" customFormat="1" ht="18">
      <c r="A412" s="178" t="s">
        <v>47</v>
      </c>
      <c r="B412" s="166" t="s">
        <v>8</v>
      </c>
      <c r="C412" s="166" t="s">
        <v>9</v>
      </c>
      <c r="D412" s="177"/>
      <c r="E412" s="177"/>
      <c r="F412" s="177"/>
      <c r="G412" s="178" t="s">
        <v>47</v>
      </c>
      <c r="H412" s="166" t="s">
        <v>8</v>
      </c>
      <c r="I412" s="166" t="s">
        <v>9</v>
      </c>
      <c r="J412" s="177"/>
      <c r="K412" s="177"/>
      <c r="L412" s="177"/>
      <c r="M412" s="178" t="s">
        <v>47</v>
      </c>
      <c r="N412" s="166" t="s">
        <v>8</v>
      </c>
      <c r="O412" s="166" t="s">
        <v>9</v>
      </c>
      <c r="P412" s="177"/>
    </row>
    <row r="413" spans="1:17" s="163" customFormat="1" ht="18">
      <c r="A413" s="200" t="s">
        <v>10</v>
      </c>
      <c r="B413" s="195">
        <v>90</v>
      </c>
      <c r="C413" s="195">
        <v>90</v>
      </c>
      <c r="D413" s="177"/>
      <c r="E413" s="201" t="s">
        <v>34</v>
      </c>
      <c r="F413" s="177"/>
      <c r="G413" s="200" t="s">
        <v>10</v>
      </c>
      <c r="H413" s="195">
        <v>90</v>
      </c>
      <c r="I413" s="195">
        <v>90</v>
      </c>
      <c r="J413" s="177"/>
      <c r="K413" s="201" t="s">
        <v>34</v>
      </c>
      <c r="L413" s="177"/>
      <c r="M413" s="200" t="s">
        <v>10</v>
      </c>
      <c r="N413" s="195">
        <v>90</v>
      </c>
      <c r="O413" s="195">
        <v>90</v>
      </c>
      <c r="P413" s="177"/>
      <c r="Q413" s="201" t="s">
        <v>34</v>
      </c>
    </row>
    <row r="414" spans="1:17" s="163" customFormat="1" ht="18">
      <c r="A414" s="165" t="s">
        <v>11</v>
      </c>
      <c r="B414" s="164" t="s">
        <v>12</v>
      </c>
      <c r="C414" s="164" t="s">
        <v>13</v>
      </c>
      <c r="D414" s="164" t="s">
        <v>14</v>
      </c>
      <c r="E414" s="164" t="s">
        <v>15</v>
      </c>
      <c r="G414" s="165" t="s">
        <v>11</v>
      </c>
      <c r="H414" s="164" t="s">
        <v>16</v>
      </c>
      <c r="I414" s="164" t="s">
        <v>17</v>
      </c>
      <c r="J414" s="164" t="s">
        <v>18</v>
      </c>
      <c r="K414" s="164" t="s">
        <v>15</v>
      </c>
      <c r="L414" s="177"/>
      <c r="M414" s="165" t="s">
        <v>11</v>
      </c>
      <c r="N414" s="164" t="s">
        <v>19</v>
      </c>
      <c r="O414" s="164" t="s">
        <v>20</v>
      </c>
      <c r="P414" s="164" t="s">
        <v>21</v>
      </c>
      <c r="Q414" s="164" t="s">
        <v>15</v>
      </c>
    </row>
    <row r="415" spans="1:17" s="163" customFormat="1" ht="18">
      <c r="A415" s="168" t="s">
        <v>22</v>
      </c>
      <c r="B415" s="196">
        <v>18.057039411206102</v>
      </c>
      <c r="C415" s="196">
        <v>37.813165364583298</v>
      </c>
      <c r="D415" s="196">
        <v>19.7561259533773</v>
      </c>
      <c r="E415" s="197">
        <v>0.52246686472540804</v>
      </c>
      <c r="G415" s="168" t="s">
        <v>22</v>
      </c>
      <c r="H415" s="196">
        <v>1625.1335470085501</v>
      </c>
      <c r="I415" s="196">
        <v>3403.1848828124998</v>
      </c>
      <c r="J415" s="196">
        <v>1778.05133580395</v>
      </c>
      <c r="K415" s="197">
        <v>0.52246686472540804</v>
      </c>
      <c r="L415" s="177"/>
      <c r="M415" s="168" t="s">
        <v>22</v>
      </c>
      <c r="N415" s="196">
        <v>507041.66666666698</v>
      </c>
      <c r="O415" s="196">
        <v>1061793.6834374999</v>
      </c>
      <c r="P415" s="196">
        <v>554752.01677083306</v>
      </c>
      <c r="Q415" s="197">
        <v>0.52246686472540804</v>
      </c>
    </row>
    <row r="416" spans="1:17" s="163" customFormat="1" ht="18">
      <c r="A416" s="168" t="s">
        <v>23</v>
      </c>
      <c r="B416" s="196">
        <v>59.260505698005701</v>
      </c>
      <c r="C416" s="196">
        <v>44.492521367521398</v>
      </c>
      <c r="D416" s="196">
        <v>-14.7679843304843</v>
      </c>
      <c r="E416" s="197">
        <v>-0.33192059871133001</v>
      </c>
      <c r="G416" s="168" t="s">
        <v>23</v>
      </c>
      <c r="H416" s="196">
        <v>5333.44551282051</v>
      </c>
      <c r="I416" s="196">
        <v>4004.3269230769201</v>
      </c>
      <c r="J416" s="196">
        <v>-1329.1185897435901</v>
      </c>
      <c r="K416" s="197">
        <v>-0.33192059871133001</v>
      </c>
      <c r="L416" s="177"/>
      <c r="M416" s="168" t="s">
        <v>23</v>
      </c>
      <c r="N416" s="196">
        <v>1664035</v>
      </c>
      <c r="O416" s="196">
        <v>1249350</v>
      </c>
      <c r="P416" s="196">
        <v>-414685</v>
      </c>
      <c r="Q416" s="197">
        <v>-0.33192059871133001</v>
      </c>
    </row>
    <row r="417" spans="1:17" s="163" customFormat="1" ht="18">
      <c r="A417" s="168" t="s">
        <v>24</v>
      </c>
      <c r="B417" s="196">
        <v>235.02359305982901</v>
      </c>
      <c r="C417" s="196">
        <v>276.03169082621099</v>
      </c>
      <c r="D417" s="196">
        <v>41.008097766381802</v>
      </c>
      <c r="E417" s="197">
        <v>0.14856300609411</v>
      </c>
      <c r="G417" s="168" t="s">
        <v>24</v>
      </c>
      <c r="H417" s="196">
        <v>21152.123375384599</v>
      </c>
      <c r="I417" s="196">
        <v>24842.852174358999</v>
      </c>
      <c r="J417" s="196">
        <v>3690.72879897436</v>
      </c>
      <c r="K417" s="197">
        <v>0.14856300609411</v>
      </c>
      <c r="L417" s="177"/>
      <c r="M417" s="168" t="s">
        <v>24</v>
      </c>
      <c r="N417" s="196">
        <v>6599462.4931199998</v>
      </c>
      <c r="O417" s="196">
        <v>7750969.8783999998</v>
      </c>
      <c r="P417" s="196">
        <v>1151507.38528</v>
      </c>
      <c r="Q417" s="197">
        <v>0.14856300609411</v>
      </c>
    </row>
    <row r="418" spans="1:17" s="163" customFormat="1" ht="18">
      <c r="A418" s="171" t="s">
        <v>25</v>
      </c>
      <c r="B418" s="204">
        <v>0.67492603550295904</v>
      </c>
      <c r="C418" s="204">
        <v>2.0019723865877701</v>
      </c>
      <c r="D418" s="204">
        <v>1.3270463510848101</v>
      </c>
      <c r="E418" s="197">
        <v>0.66286945812807896</v>
      </c>
      <c r="G418" s="171" t="s">
        <v>25</v>
      </c>
      <c r="H418" s="196">
        <v>60.743343195266299</v>
      </c>
      <c r="I418" s="196">
        <v>180.17751479289899</v>
      </c>
      <c r="J418" s="196">
        <v>119.434171597633</v>
      </c>
      <c r="K418" s="197">
        <v>0.66286945812807896</v>
      </c>
      <c r="L418" s="177"/>
      <c r="M418" s="171" t="s">
        <v>25</v>
      </c>
      <c r="N418" s="204">
        <v>18951.9230769231</v>
      </c>
      <c r="O418" s="204">
        <v>56215.384615384603</v>
      </c>
      <c r="P418" s="204">
        <v>37263.461538461503</v>
      </c>
      <c r="Q418" s="197">
        <v>0.66286945812807896</v>
      </c>
    </row>
    <row r="419" spans="1:17" s="163" customFormat="1" ht="18">
      <c r="A419" s="171" t="s">
        <v>26</v>
      </c>
      <c r="B419" s="204">
        <v>5.30849358974359E-3</v>
      </c>
      <c r="C419" s="204">
        <v>2.13609467455621E-2</v>
      </c>
      <c r="D419" s="204">
        <v>1.6052453155818502E-2</v>
      </c>
      <c r="E419" s="197">
        <v>0.751486034164358</v>
      </c>
      <c r="G419" s="171" t="s">
        <v>26</v>
      </c>
      <c r="H419" s="196">
        <v>0.47776442307692302</v>
      </c>
      <c r="I419" s="196">
        <v>1.92248520710059</v>
      </c>
      <c r="J419" s="196">
        <v>1.44472078402367</v>
      </c>
      <c r="K419" s="197">
        <v>0.751486034164358</v>
      </c>
      <c r="L419" s="177"/>
      <c r="M419" s="171" t="s">
        <v>26</v>
      </c>
      <c r="N419" s="204">
        <v>149.0625</v>
      </c>
      <c r="O419" s="204">
        <v>599.81538461538503</v>
      </c>
      <c r="P419" s="204">
        <v>450.75288461538503</v>
      </c>
      <c r="Q419" s="197">
        <v>0.751486034164358</v>
      </c>
    </row>
    <row r="420" spans="1:17" s="163" customFormat="1" ht="18">
      <c r="A420" s="171" t="s">
        <v>27</v>
      </c>
      <c r="B420" s="204">
        <v>1.67948717948718E-2</v>
      </c>
      <c r="C420" s="204">
        <v>8.3974358974358995E-2</v>
      </c>
      <c r="D420" s="204">
        <v>6.7179487179487199E-2</v>
      </c>
      <c r="E420" s="197">
        <v>0.8</v>
      </c>
      <c r="G420" s="171" t="s">
        <v>27</v>
      </c>
      <c r="H420" s="196">
        <v>1.5115384615384599</v>
      </c>
      <c r="I420" s="196">
        <v>7.5576923076923102</v>
      </c>
      <c r="J420" s="196">
        <v>6.0461538461538504</v>
      </c>
      <c r="K420" s="197">
        <v>0.8</v>
      </c>
      <c r="L420" s="177"/>
      <c r="M420" s="171" t="s">
        <v>27</v>
      </c>
      <c r="N420" s="204">
        <v>471.6</v>
      </c>
      <c r="O420" s="204">
        <v>2358</v>
      </c>
      <c r="P420" s="204">
        <v>1886.4</v>
      </c>
      <c r="Q420" s="197">
        <v>0.8</v>
      </c>
    </row>
    <row r="421" spans="1:17" s="172" customFormat="1" ht="18">
      <c r="A421" s="164" t="s">
        <v>28</v>
      </c>
      <c r="B421" s="205">
        <v>313.03816756992802</v>
      </c>
      <c r="C421" s="205">
        <v>360.44468525062302</v>
      </c>
      <c r="D421" s="205">
        <v>47.406517680694797</v>
      </c>
      <c r="E421" s="211">
        <v>0.13152231013680299</v>
      </c>
      <c r="F421" s="163"/>
      <c r="G421" s="164" t="s">
        <v>28</v>
      </c>
      <c r="H421" s="205">
        <v>28173.435081293599</v>
      </c>
      <c r="I421" s="205">
        <v>32440.0216725561</v>
      </c>
      <c r="J421" s="205">
        <v>4266.5865912625304</v>
      </c>
      <c r="K421" s="211">
        <v>0.13152231013680299</v>
      </c>
      <c r="L421" s="177"/>
      <c r="M421" s="164" t="s">
        <v>28</v>
      </c>
      <c r="N421" s="205">
        <v>8790111.7453635894</v>
      </c>
      <c r="O421" s="205">
        <v>10121286.761837499</v>
      </c>
      <c r="P421" s="205">
        <v>1331175.0164739101</v>
      </c>
      <c r="Q421" s="211">
        <v>0.13152231013680299</v>
      </c>
    </row>
    <row r="422" spans="1:17" s="163" customFormat="1" ht="18" hidden="1">
      <c r="A422" s="213" t="s">
        <v>29</v>
      </c>
      <c r="B422" s="214">
        <f>SUM(B415:B417)</f>
        <v>312.34113816904102</v>
      </c>
      <c r="C422" s="214">
        <f>SUM(C415:C417)</f>
        <v>358.33737755831601</v>
      </c>
      <c r="D422" s="214">
        <f>SUM(D415:D417)</f>
        <v>45.996239389274699</v>
      </c>
      <c r="E422" s="197">
        <f>D422/C422</f>
        <v>0.128360149596142</v>
      </c>
      <c r="G422" s="213" t="s">
        <v>29</v>
      </c>
      <c r="H422" s="214">
        <f>SUM(H415:H417)</f>
        <v>28110.702435213701</v>
      </c>
      <c r="I422" s="214">
        <f>SUM(I415:I417)</f>
        <v>32250.363980248399</v>
      </c>
      <c r="J422" s="214">
        <f>SUM(J415:J417)</f>
        <v>4139.6615450347199</v>
      </c>
      <c r="K422" s="197">
        <f>J422/I422</f>
        <v>0.128360149596142</v>
      </c>
      <c r="L422" s="177"/>
      <c r="M422" s="213" t="s">
        <v>29</v>
      </c>
      <c r="N422" s="214">
        <f>SUM(N415:N417)</f>
        <v>8770539.1597866695</v>
      </c>
      <c r="O422" s="214">
        <f>SUM(O415:O417)</f>
        <v>10062113.5618375</v>
      </c>
      <c r="P422" s="214">
        <f>SUM(P415:P417)</f>
        <v>1291574.40205083</v>
      </c>
      <c r="Q422" s="197">
        <f>P422/O422</f>
        <v>0.128360149596142</v>
      </c>
    </row>
    <row r="423" spans="1:17" s="163" customFormat="1" ht="18" hidden="1">
      <c r="A423" s="213" t="s">
        <v>30</v>
      </c>
      <c r="B423" s="214">
        <f>SUM(B418:B420)</f>
        <v>0.69702940088757404</v>
      </c>
      <c r="C423" s="214">
        <f>SUM(C418:C420)</f>
        <v>2.1073076923076899</v>
      </c>
      <c r="D423" s="214">
        <f>SUM(D418:D420)</f>
        <v>1.41027829142012</v>
      </c>
      <c r="E423" s="197">
        <f>D423/C423</f>
        <v>0.66923226094037402</v>
      </c>
      <c r="G423" s="213" t="s">
        <v>30</v>
      </c>
      <c r="H423" s="214">
        <f>SUM(H418:H420)</f>
        <v>62.732646079881697</v>
      </c>
      <c r="I423" s="214">
        <f>SUM(I418:I420)</f>
        <v>189.657692307692</v>
      </c>
      <c r="J423" s="214">
        <f>SUM(J418:J420)</f>
        <v>126.92504622781099</v>
      </c>
      <c r="K423" s="197">
        <f>J423/I423</f>
        <v>0.66923226094037402</v>
      </c>
      <c r="L423" s="177"/>
      <c r="M423" s="213" t="s">
        <v>30</v>
      </c>
      <c r="N423" s="214">
        <f>SUM(N418:N420)</f>
        <v>19572.585576923098</v>
      </c>
      <c r="O423" s="214">
        <f>SUM(O418:O420)</f>
        <v>59173.2</v>
      </c>
      <c r="P423" s="214">
        <f>SUM(P418:P420)</f>
        <v>39600.614423076899</v>
      </c>
      <c r="Q423" s="197">
        <f>P423/O423</f>
        <v>0.66923226094037402</v>
      </c>
    </row>
    <row r="424" spans="1:17" s="163" customFormat="1" ht="18">
      <c r="A424" s="215"/>
      <c r="B424" s="215"/>
      <c r="C424" s="215"/>
      <c r="D424" s="215"/>
      <c r="E424" s="215"/>
      <c r="F424" s="215"/>
      <c r="G424" s="215"/>
      <c r="H424" s="215"/>
      <c r="I424" s="215"/>
      <c r="J424" s="215"/>
      <c r="K424" s="215"/>
      <c r="L424" s="215"/>
      <c r="M424" s="215"/>
      <c r="N424" s="215"/>
      <c r="O424" s="215"/>
      <c r="P424" s="215"/>
      <c r="Q424" s="215"/>
    </row>
    <row r="425" spans="1:17" s="163" customFormat="1" ht="18"/>
    <row r="426" spans="1:17" s="163" customFormat="1" ht="18">
      <c r="A426" s="178" t="s">
        <v>48</v>
      </c>
      <c r="B426" s="166" t="s">
        <v>8</v>
      </c>
      <c r="C426" s="166" t="s">
        <v>9</v>
      </c>
      <c r="D426" s="177"/>
      <c r="E426" s="177"/>
      <c r="F426" s="177"/>
      <c r="G426" s="178" t="s">
        <v>48</v>
      </c>
      <c r="H426" s="166" t="s">
        <v>8</v>
      </c>
      <c r="I426" s="166" t="s">
        <v>9</v>
      </c>
      <c r="J426" s="177"/>
      <c r="K426" s="177"/>
      <c r="L426" s="177"/>
      <c r="M426" s="178" t="s">
        <v>48</v>
      </c>
      <c r="N426" s="166" t="s">
        <v>8</v>
      </c>
      <c r="O426" s="166" t="s">
        <v>9</v>
      </c>
      <c r="P426" s="177"/>
    </row>
    <row r="427" spans="1:17" s="163" customFormat="1" ht="18">
      <c r="A427" s="200" t="s">
        <v>10</v>
      </c>
      <c r="B427" s="195">
        <v>100</v>
      </c>
      <c r="C427" s="195">
        <v>100</v>
      </c>
      <c r="D427" s="177"/>
      <c r="E427" s="201" t="s">
        <v>34</v>
      </c>
      <c r="F427" s="177"/>
      <c r="G427" s="200" t="s">
        <v>10</v>
      </c>
      <c r="H427" s="195">
        <v>100</v>
      </c>
      <c r="I427" s="195">
        <v>100</v>
      </c>
      <c r="J427" s="177"/>
      <c r="K427" s="201" t="s">
        <v>34</v>
      </c>
      <c r="L427" s="177"/>
      <c r="M427" s="200" t="s">
        <v>10</v>
      </c>
      <c r="N427" s="195">
        <v>100</v>
      </c>
      <c r="O427" s="195">
        <v>100</v>
      </c>
      <c r="P427" s="177"/>
      <c r="Q427" s="201" t="s">
        <v>34</v>
      </c>
    </row>
    <row r="428" spans="1:17" s="163" customFormat="1" ht="18">
      <c r="A428" s="165" t="s">
        <v>11</v>
      </c>
      <c r="B428" s="164" t="s">
        <v>12</v>
      </c>
      <c r="C428" s="164" t="s">
        <v>13</v>
      </c>
      <c r="D428" s="164" t="s">
        <v>14</v>
      </c>
      <c r="E428" s="164" t="s">
        <v>15</v>
      </c>
      <c r="G428" s="165" t="s">
        <v>11</v>
      </c>
      <c r="H428" s="164" t="s">
        <v>16</v>
      </c>
      <c r="I428" s="164" t="s">
        <v>17</v>
      </c>
      <c r="J428" s="164" t="s">
        <v>18</v>
      </c>
      <c r="K428" s="164" t="s">
        <v>15</v>
      </c>
      <c r="L428" s="177"/>
      <c r="M428" s="165" t="s">
        <v>11</v>
      </c>
      <c r="N428" s="164" t="s">
        <v>19</v>
      </c>
      <c r="O428" s="164" t="s">
        <v>20</v>
      </c>
      <c r="P428" s="164" t="s">
        <v>21</v>
      </c>
      <c r="Q428" s="164" t="s">
        <v>15</v>
      </c>
    </row>
    <row r="429" spans="1:17" s="163" customFormat="1" ht="18">
      <c r="A429" s="168" t="s">
        <v>22</v>
      </c>
      <c r="B429" s="196">
        <v>18.048878205128201</v>
      </c>
      <c r="C429" s="196">
        <v>37.813165364583298</v>
      </c>
      <c r="D429" s="196">
        <v>19.764287159455101</v>
      </c>
      <c r="E429" s="197">
        <v>0.52268269447674498</v>
      </c>
      <c r="G429" s="168" t="s">
        <v>22</v>
      </c>
      <c r="H429" s="196">
        <v>1804.8878205128201</v>
      </c>
      <c r="I429" s="196">
        <v>3781.3165364583301</v>
      </c>
      <c r="J429" s="196">
        <v>1976.42871594551</v>
      </c>
      <c r="K429" s="197">
        <v>0.52268269447674498</v>
      </c>
      <c r="L429" s="177"/>
      <c r="M429" s="168" t="s">
        <v>22</v>
      </c>
      <c r="N429" s="196">
        <v>563125</v>
      </c>
      <c r="O429" s="196">
        <v>1179770.7593749999</v>
      </c>
      <c r="P429" s="196">
        <v>616645.75937500002</v>
      </c>
      <c r="Q429" s="197">
        <v>0.52268269447674498</v>
      </c>
    </row>
    <row r="430" spans="1:17" s="163" customFormat="1" ht="18">
      <c r="A430" s="168" t="s">
        <v>23</v>
      </c>
      <c r="B430" s="196">
        <v>58.315705128205103</v>
      </c>
      <c r="C430" s="196">
        <v>44.492521367521398</v>
      </c>
      <c r="D430" s="196">
        <v>-13.823183760683801</v>
      </c>
      <c r="E430" s="197">
        <v>-0.31068555648937501</v>
      </c>
      <c r="G430" s="168" t="s">
        <v>23</v>
      </c>
      <c r="H430" s="196">
        <v>5831.57051282051</v>
      </c>
      <c r="I430" s="196">
        <v>4449.2521367521404</v>
      </c>
      <c r="J430" s="196">
        <v>-1382.3183760683801</v>
      </c>
      <c r="K430" s="197">
        <v>-0.31068555648937402</v>
      </c>
      <c r="L430" s="177"/>
      <c r="M430" s="168" t="s">
        <v>23</v>
      </c>
      <c r="N430" s="196">
        <v>1819450</v>
      </c>
      <c r="O430" s="196">
        <v>1388166.66666667</v>
      </c>
      <c r="P430" s="196">
        <v>-431283.33333333302</v>
      </c>
      <c r="Q430" s="197">
        <v>-0.31068555648937501</v>
      </c>
    </row>
    <row r="431" spans="1:17" s="163" customFormat="1" ht="18">
      <c r="A431" s="168" t="s">
        <v>24</v>
      </c>
      <c r="B431" s="196">
        <v>235.20248161709401</v>
      </c>
      <c r="C431" s="196">
        <v>276.03169082621099</v>
      </c>
      <c r="D431" s="196">
        <v>40.829209209116797</v>
      </c>
      <c r="E431" s="197">
        <v>0.14791493356037499</v>
      </c>
      <c r="G431" s="168" t="s">
        <v>24</v>
      </c>
      <c r="H431" s="196">
        <v>23520.248161709402</v>
      </c>
      <c r="I431" s="196">
        <v>27603.169082621102</v>
      </c>
      <c r="J431" s="196">
        <v>4082.9209209116798</v>
      </c>
      <c r="K431" s="197">
        <v>0.14791493356037499</v>
      </c>
      <c r="L431" s="177"/>
      <c r="M431" s="168" t="s">
        <v>24</v>
      </c>
      <c r="N431" s="196">
        <v>7338317.4264533296</v>
      </c>
      <c r="O431" s="196">
        <v>8612188.7537777796</v>
      </c>
      <c r="P431" s="196">
        <v>1273871.32732444</v>
      </c>
      <c r="Q431" s="197">
        <v>0.147914933560374</v>
      </c>
    </row>
    <row r="432" spans="1:17" s="163" customFormat="1" ht="18">
      <c r="A432" s="171" t="s">
        <v>25</v>
      </c>
      <c r="B432" s="204">
        <v>0.67492603550295804</v>
      </c>
      <c r="C432" s="204">
        <v>2.0019723865877701</v>
      </c>
      <c r="D432" s="204">
        <v>1.3270463510848101</v>
      </c>
      <c r="E432" s="197">
        <v>0.66286945812807896</v>
      </c>
      <c r="G432" s="171" t="s">
        <v>25</v>
      </c>
      <c r="H432" s="196">
        <v>67.492603550295897</v>
      </c>
      <c r="I432" s="196">
        <v>200.197238658777</v>
      </c>
      <c r="J432" s="196">
        <v>132.704635108481</v>
      </c>
      <c r="K432" s="197">
        <v>0.66286945812807896</v>
      </c>
      <c r="L432" s="177"/>
      <c r="M432" s="171" t="s">
        <v>25</v>
      </c>
      <c r="N432" s="204">
        <v>21057.692307692301</v>
      </c>
      <c r="O432" s="204">
        <v>62461.538461538497</v>
      </c>
      <c r="P432" s="204">
        <v>41403.8461538462</v>
      </c>
      <c r="Q432" s="197">
        <v>0.66286945812807896</v>
      </c>
    </row>
    <row r="433" spans="1:17" s="163" customFormat="1" ht="18">
      <c r="A433" s="171" t="s">
        <v>26</v>
      </c>
      <c r="B433" s="204">
        <v>5.30849358974359E-3</v>
      </c>
      <c r="C433" s="204">
        <v>2.13609467455621E-2</v>
      </c>
      <c r="D433" s="204">
        <v>1.6052453155818502E-2</v>
      </c>
      <c r="E433" s="197">
        <v>0.751486034164358</v>
      </c>
      <c r="G433" s="171" t="s">
        <v>26</v>
      </c>
      <c r="H433" s="196">
        <v>0.53084935897435903</v>
      </c>
      <c r="I433" s="196">
        <v>2.1360946745562099</v>
      </c>
      <c r="J433" s="196">
        <v>1.60524531558185</v>
      </c>
      <c r="K433" s="197">
        <v>0.751486034164358</v>
      </c>
      <c r="L433" s="177"/>
      <c r="M433" s="171" t="s">
        <v>26</v>
      </c>
      <c r="N433" s="204">
        <v>165.625</v>
      </c>
      <c r="O433" s="204">
        <v>666.461538461538</v>
      </c>
      <c r="P433" s="204">
        <v>500.836538461538</v>
      </c>
      <c r="Q433" s="197">
        <v>0.751486034164358</v>
      </c>
    </row>
    <row r="434" spans="1:17" s="163" customFormat="1" ht="18">
      <c r="A434" s="171" t="s">
        <v>27</v>
      </c>
      <c r="B434" s="204">
        <v>1.51153846153846E-2</v>
      </c>
      <c r="C434" s="204">
        <v>7.5576923076923097E-2</v>
      </c>
      <c r="D434" s="204">
        <v>6.0461538461538497E-2</v>
      </c>
      <c r="E434" s="197">
        <v>0.8</v>
      </c>
      <c r="G434" s="171" t="s">
        <v>27</v>
      </c>
      <c r="H434" s="196">
        <v>1.5115384615384599</v>
      </c>
      <c r="I434" s="196">
        <v>7.5576923076923102</v>
      </c>
      <c r="J434" s="196">
        <v>6.0461538461538504</v>
      </c>
      <c r="K434" s="197">
        <v>0.8</v>
      </c>
      <c r="L434" s="177"/>
      <c r="M434" s="171" t="s">
        <v>27</v>
      </c>
      <c r="N434" s="204">
        <v>471.6</v>
      </c>
      <c r="O434" s="204">
        <v>2358</v>
      </c>
      <c r="P434" s="204">
        <v>1886.4</v>
      </c>
      <c r="Q434" s="197">
        <v>0.8</v>
      </c>
    </row>
    <row r="435" spans="1:17" s="172" customFormat="1" ht="18">
      <c r="A435" s="164" t="s">
        <v>28</v>
      </c>
      <c r="B435" s="205">
        <v>312.262414864135</v>
      </c>
      <c r="C435" s="205">
        <v>360.43628781472597</v>
      </c>
      <c r="D435" s="205">
        <v>48.173872950590301</v>
      </c>
      <c r="E435" s="211">
        <v>0.13365433664479701</v>
      </c>
      <c r="F435" s="163"/>
      <c r="G435" s="164" t="s">
        <v>28</v>
      </c>
      <c r="H435" s="205">
        <v>31226.241486413499</v>
      </c>
      <c r="I435" s="205">
        <v>36043.628781472602</v>
      </c>
      <c r="J435" s="205">
        <v>4817.3872950590303</v>
      </c>
      <c r="K435" s="211">
        <v>0.13365433664479701</v>
      </c>
      <c r="L435" s="177"/>
      <c r="M435" s="164" t="s">
        <v>28</v>
      </c>
      <c r="N435" s="205">
        <v>9742587.3437610194</v>
      </c>
      <c r="O435" s="205">
        <v>11245612.179819399</v>
      </c>
      <c r="P435" s="205">
        <v>1503024.8360584199</v>
      </c>
      <c r="Q435" s="211">
        <v>0.13365433664479701</v>
      </c>
    </row>
    <row r="436" spans="1:17" s="163" customFormat="1" ht="18">
      <c r="A436" s="215"/>
      <c r="B436" s="215"/>
      <c r="C436" s="215"/>
      <c r="D436" s="215"/>
      <c r="E436" s="215"/>
      <c r="F436" s="215"/>
      <c r="G436" s="215"/>
      <c r="H436" s="215"/>
      <c r="I436" s="215"/>
      <c r="J436" s="215"/>
      <c r="K436" s="215"/>
      <c r="L436" s="215"/>
      <c r="M436" s="215"/>
      <c r="N436" s="215"/>
      <c r="O436" s="215"/>
      <c r="P436" s="215"/>
      <c r="Q436" s="215"/>
    </row>
  </sheetData>
  <phoneticPr fontId="5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D187"/>
  <sheetViews>
    <sheetView zoomScale="82" zoomScaleNormal="87" workbookViewId="0">
      <selection activeCell="C157" sqref="C157:C161"/>
    </sheetView>
  </sheetViews>
  <sheetFormatPr baseColWidth="10" defaultColWidth="10.83203125" defaultRowHeight="16"/>
  <cols>
    <col min="1" max="1" width="41.33203125" style="74" customWidth="1"/>
    <col min="2" max="2" width="20" style="74" customWidth="1"/>
    <col min="3" max="3" width="14" style="74" customWidth="1"/>
    <col min="4" max="4" width="15.1640625" style="74" customWidth="1"/>
    <col min="5" max="5" width="14" style="74" customWidth="1"/>
    <col min="6" max="6" width="16.33203125" style="74" customWidth="1"/>
    <col min="7" max="7" width="32.6640625" style="74" customWidth="1"/>
    <col min="8" max="9" width="13.5" style="74" customWidth="1"/>
    <col min="10" max="10" width="12.6640625" style="74" customWidth="1"/>
    <col min="11" max="11" width="13" style="74" customWidth="1"/>
    <col min="12" max="12" width="12.83203125" style="74" customWidth="1"/>
    <col min="13" max="13" width="28.33203125" style="74" customWidth="1"/>
    <col min="14" max="14" width="17.5" style="74" customWidth="1"/>
    <col min="15" max="15" width="14.83203125" style="74" customWidth="1"/>
    <col min="16" max="16" width="15" style="74" customWidth="1"/>
    <col min="17" max="17" width="16.1640625" style="74" customWidth="1"/>
    <col min="18" max="18" width="14" style="74" customWidth="1"/>
    <col min="19" max="19" width="29.1640625" style="74" customWidth="1"/>
    <col min="20" max="20" width="20.33203125" style="74" customWidth="1"/>
    <col min="21" max="21" width="20.6640625" style="74" customWidth="1"/>
    <col min="22" max="22" width="25.33203125" style="74" customWidth="1"/>
    <col min="23" max="23" width="10.83203125" style="74"/>
    <col min="24" max="24" width="19.5" style="74" customWidth="1"/>
    <col min="25" max="25" width="32.1640625" style="74" customWidth="1"/>
    <col min="26" max="26" width="19.6640625" style="74" customWidth="1"/>
    <col min="27" max="27" width="20.83203125" style="74" customWidth="1"/>
    <col min="28" max="28" width="26.83203125" style="74" customWidth="1"/>
    <col min="29" max="29" width="10.83203125" style="74"/>
    <col min="30" max="30" width="16.33203125" style="74" customWidth="1"/>
    <col min="31" max="31" width="29.83203125" style="74" customWidth="1"/>
    <col min="32" max="32" width="19.6640625" style="74" customWidth="1"/>
    <col min="33" max="33" width="21.33203125" style="74" customWidth="1"/>
    <col min="34" max="34" width="23.33203125" style="74" customWidth="1"/>
    <col min="35" max="35" width="10.83203125" style="74"/>
    <col min="36" max="36" width="15" style="74" customWidth="1"/>
    <col min="37" max="37" width="10.83203125" style="74"/>
    <col min="38" max="38" width="15.33203125" style="74" customWidth="1"/>
    <col min="39" max="39" width="30.5" style="74" customWidth="1"/>
    <col min="40" max="40" width="19.5" style="74" customWidth="1"/>
    <col min="41" max="41" width="22.33203125" style="74" customWidth="1"/>
    <col min="42" max="42" width="10.83203125" style="74"/>
    <col min="43" max="43" width="16.5" style="74" customWidth="1"/>
    <col min="44" max="44" width="20.6640625" style="74" customWidth="1"/>
    <col min="45" max="45" width="25.6640625" style="74" customWidth="1"/>
    <col min="46" max="46" width="22.6640625" style="74" customWidth="1"/>
    <col min="47" max="47" width="23.83203125" style="74" customWidth="1"/>
    <col min="48" max="48" width="10.83203125" style="74" customWidth="1"/>
    <col min="49" max="49" width="19.6640625" style="74" customWidth="1"/>
    <col min="50" max="50" width="17.5" style="74" customWidth="1"/>
    <col min="51" max="51" width="20.1640625" style="74" customWidth="1"/>
    <col min="52" max="52" width="25" style="74" customWidth="1"/>
    <col min="53" max="53" width="23.6640625" style="74" customWidth="1"/>
    <col min="54" max="54" width="14.1640625" style="74" customWidth="1"/>
    <col min="55" max="55" width="18" style="74" customWidth="1"/>
    <col min="56" max="56" width="5.5" style="74" customWidth="1"/>
    <col min="57" max="16384" width="10.83203125" style="74"/>
  </cols>
  <sheetData>
    <row r="1" spans="1:56" ht="18">
      <c r="A1" s="74" t="s">
        <v>3</v>
      </c>
      <c r="B1" s="164" t="s">
        <v>50</v>
      </c>
      <c r="E1" s="166"/>
      <c r="F1" s="166"/>
      <c r="G1" s="166"/>
      <c r="H1" s="166"/>
      <c r="I1" s="166"/>
      <c r="S1" s="74" t="s">
        <v>4</v>
      </c>
      <c r="T1" s="164" t="s">
        <v>50</v>
      </c>
      <c r="U1" s="166"/>
      <c r="V1" s="166"/>
      <c r="W1" s="166"/>
      <c r="AM1" s="194" t="s">
        <v>5</v>
      </c>
      <c r="AN1" s="164" t="s">
        <v>50</v>
      </c>
      <c r="BD1" s="267"/>
    </row>
    <row r="2" spans="1:56" ht="18">
      <c r="A2" s="165" t="s">
        <v>11</v>
      </c>
      <c r="B2" s="166" t="s">
        <v>31</v>
      </c>
      <c r="C2" s="167" t="s">
        <v>33</v>
      </c>
      <c r="D2" s="166" t="s">
        <v>35</v>
      </c>
      <c r="E2" s="166" t="s">
        <v>36</v>
      </c>
      <c r="F2" s="166" t="s">
        <v>37</v>
      </c>
      <c r="G2" s="166" t="s">
        <v>38</v>
      </c>
      <c r="H2" s="166" t="s">
        <v>39</v>
      </c>
      <c r="I2" s="166" t="s">
        <v>40</v>
      </c>
      <c r="J2" s="166" t="s">
        <v>41</v>
      </c>
      <c r="K2" s="178" t="s">
        <v>42</v>
      </c>
      <c r="L2" s="166" t="s">
        <v>43</v>
      </c>
      <c r="M2" s="178" t="s">
        <v>44</v>
      </c>
      <c r="N2" s="166" t="s">
        <v>45</v>
      </c>
      <c r="O2" s="178" t="s">
        <v>46</v>
      </c>
      <c r="P2" s="166" t="s">
        <v>47</v>
      </c>
      <c r="Q2" s="178" t="s">
        <v>48</v>
      </c>
      <c r="S2" s="165" t="s">
        <v>11</v>
      </c>
      <c r="T2" s="184" t="s">
        <v>49</v>
      </c>
      <c r="U2" s="167" t="s">
        <v>31</v>
      </c>
      <c r="V2" s="184" t="s">
        <v>33</v>
      </c>
      <c r="W2" s="166" t="s">
        <v>35</v>
      </c>
      <c r="X2" s="166" t="s">
        <v>36</v>
      </c>
      <c r="Y2" s="166" t="s">
        <v>37</v>
      </c>
      <c r="Z2" s="166" t="s">
        <v>38</v>
      </c>
      <c r="AA2" s="166" t="s">
        <v>39</v>
      </c>
      <c r="AB2" s="166" t="s">
        <v>40</v>
      </c>
      <c r="AC2" s="166" t="s">
        <v>41</v>
      </c>
      <c r="AD2" s="178" t="s">
        <v>42</v>
      </c>
      <c r="AE2" s="166" t="s">
        <v>43</v>
      </c>
      <c r="AF2" s="178" t="s">
        <v>44</v>
      </c>
      <c r="AG2" s="166" t="s">
        <v>45</v>
      </c>
      <c r="AH2" s="178" t="s">
        <v>46</v>
      </c>
      <c r="AI2" s="166" t="s">
        <v>47</v>
      </c>
      <c r="AJ2" s="178" t="s">
        <v>48</v>
      </c>
      <c r="AM2" s="165" t="s">
        <v>11</v>
      </c>
      <c r="AN2" s="184" t="s">
        <v>31</v>
      </c>
      <c r="AO2" s="184" t="s">
        <v>33</v>
      </c>
      <c r="AP2" s="166" t="s">
        <v>35</v>
      </c>
      <c r="AQ2" s="166" t="s">
        <v>36</v>
      </c>
      <c r="AR2" s="166" t="s">
        <v>37</v>
      </c>
      <c r="AS2" s="167" t="s">
        <v>38</v>
      </c>
      <c r="AT2" s="166" t="s">
        <v>39</v>
      </c>
      <c r="AU2" s="166" t="s">
        <v>40</v>
      </c>
      <c r="AV2" s="166" t="s">
        <v>41</v>
      </c>
      <c r="AW2" s="178" t="s">
        <v>42</v>
      </c>
      <c r="AX2" s="166" t="s">
        <v>43</v>
      </c>
      <c r="AY2" s="178" t="s">
        <v>44</v>
      </c>
      <c r="AZ2" s="166" t="s">
        <v>45</v>
      </c>
      <c r="BA2" s="178" t="s">
        <v>46</v>
      </c>
      <c r="BB2" s="166" t="s">
        <v>47</v>
      </c>
      <c r="BC2" s="178" t="s">
        <v>48</v>
      </c>
      <c r="BD2" s="267"/>
    </row>
    <row r="3" spans="1:56" ht="18">
      <c r="A3" s="168" t="s">
        <v>22</v>
      </c>
      <c r="B3" s="169">
        <f>'Scenario 1'!E28</f>
        <v>0.50520048461851197</v>
      </c>
      <c r="C3" s="170">
        <f>'Scenario 1'!E40</f>
        <v>0.50843793088855505</v>
      </c>
      <c r="D3" s="169">
        <f>'Scenario 1'!E52</f>
        <v>0.51075039251001497</v>
      </c>
      <c r="E3" s="175">
        <f>'Scenario 1'!E66</f>
        <v>0.512484738726109</v>
      </c>
      <c r="F3" s="169">
        <f>'Scenario 1'!E80</f>
        <v>0.51383367467195995</v>
      </c>
      <c r="G3" s="169">
        <f>'Scenario 1'!E94</f>
        <v>0.51491282342864098</v>
      </c>
      <c r="H3" s="169">
        <f>'Scenario 1'!E108</f>
        <v>0.51579576332047095</v>
      </c>
      <c r="I3" s="169">
        <f>'Scenario 1'!E122</f>
        <v>0.51653154656366296</v>
      </c>
      <c r="J3" s="169">
        <f>'Scenario 1'!E136</f>
        <v>0.51815026969868405</v>
      </c>
      <c r="K3" s="169">
        <f>'Scenario 1'!E150</f>
        <v>0.51976899283370603</v>
      </c>
      <c r="L3" s="169">
        <f>'Scenario 1'!E164</f>
        <v>0.52074022671471898</v>
      </c>
      <c r="M3" s="169">
        <f>'Scenario 1'!E178</f>
        <v>0.52138771596872702</v>
      </c>
      <c r="N3" s="169">
        <f>'Scenario 1'!E192</f>
        <v>0.52185020829301898</v>
      </c>
      <c r="O3" s="169">
        <f>'Scenario 1'!E206</f>
        <v>0.52219707753623801</v>
      </c>
      <c r="P3" s="169">
        <f>'Scenario 1'!E220</f>
        <v>0.52246686472540804</v>
      </c>
      <c r="Q3" s="169">
        <f>'Scenario 1'!E234</f>
        <v>0.52268269447674498</v>
      </c>
      <c r="S3" s="168" t="s">
        <v>22</v>
      </c>
      <c r="T3" s="185">
        <f>'Scenario 2&amp;3'!E6</f>
        <v>0.50843793088855505</v>
      </c>
      <c r="U3" s="170">
        <f>'Scenario 2&amp;3'!E18</f>
        <v>0.51167537715859801</v>
      </c>
      <c r="V3" s="175">
        <f>'Scenario 2&amp;3'!E30</f>
        <v>0.51383367467195995</v>
      </c>
      <c r="W3" s="169">
        <f>'Scenario 2&amp;3'!E42</f>
        <v>0.51537531575293305</v>
      </c>
      <c r="X3" s="169">
        <f>'Scenario 2&amp;3'!E54</f>
        <v>0.51653154656366296</v>
      </c>
      <c r="Y3" s="169">
        <f>'Scenario 2&amp;3'!E66</f>
        <v>0.51743083719423</v>
      </c>
      <c r="Z3" s="169">
        <f>'Scenario 2&amp;3'!E80</f>
        <v>0.51815026969868405</v>
      </c>
      <c r="AA3" s="169">
        <f>'Scenario 2&amp;3'!E92</f>
        <v>0.51873889629323799</v>
      </c>
      <c r="AB3" s="169">
        <f>'Scenario 2&amp;3'!E106</f>
        <v>0.51922941845536497</v>
      </c>
      <c r="AC3" s="169">
        <f>'Scenario 2&amp;3'!E120</f>
        <v>0.52030856721204599</v>
      </c>
      <c r="AD3" s="169">
        <f>'Scenario 2&amp;3'!E132</f>
        <v>0.52138771596872702</v>
      </c>
      <c r="AE3" s="169">
        <f>'Scenario 2&amp;3'!E144</f>
        <v>0.52203520522273605</v>
      </c>
      <c r="AF3" s="169">
        <f>'Scenario 2&amp;3'!E156</f>
        <v>0.52246686472540804</v>
      </c>
      <c r="AG3" s="169">
        <f>'Scenario 2&amp;3'!E168</f>
        <v>0.52277519294160302</v>
      </c>
      <c r="AH3" s="169">
        <f>'Scenario 2&amp;3'!E180</f>
        <v>0.523006439103749</v>
      </c>
      <c r="AI3" s="169">
        <f>'Scenario 2&amp;3'!E192</f>
        <v>0.52318629722986199</v>
      </c>
      <c r="AJ3" s="169">
        <f>'Scenario 2&amp;3'!E204</f>
        <v>0.52333018373075302</v>
      </c>
      <c r="AM3" s="168" t="s">
        <v>22</v>
      </c>
      <c r="AN3" s="169">
        <f>'Scenario 2&amp;3'!E219</f>
        <v>0.50520048461851197</v>
      </c>
      <c r="AO3" s="169">
        <f>'Scenario 2&amp;3'!E233</f>
        <v>0.50843793088855505</v>
      </c>
      <c r="AP3" s="169">
        <f>'Scenario 2&amp;3'!E247</f>
        <v>0.51075039251001497</v>
      </c>
      <c r="AQ3" s="169">
        <f>'Scenario 2&amp;3'!E261</f>
        <v>0.512484738726109</v>
      </c>
      <c r="AR3" s="169">
        <f>'Scenario 2&amp;3'!E275</f>
        <v>0.51383367467195995</v>
      </c>
      <c r="AS3" s="170">
        <f>'Scenario 2&amp;3'!E289</f>
        <v>0.51491282342864098</v>
      </c>
      <c r="AT3" s="169">
        <f>'Scenario 2&amp;3'!E303</f>
        <v>0.51579576332047095</v>
      </c>
      <c r="AU3" s="169">
        <f>'Scenario 2&amp;3'!E317</f>
        <v>0.51653154656366296</v>
      </c>
      <c r="AV3" s="169">
        <f>'Scenario 2&amp;3'!E331</f>
        <v>0.51815026969868405</v>
      </c>
      <c r="AW3" s="169">
        <f>'Scenario 2&amp;3'!E345</f>
        <v>0.51976899283370603</v>
      </c>
      <c r="AX3" s="169">
        <f>'Scenario 2&amp;3'!E359</f>
        <v>0.52074022671471898</v>
      </c>
      <c r="AY3" s="169">
        <f>'Scenario 2&amp;3'!E373</f>
        <v>0.52138771596872702</v>
      </c>
      <c r="AZ3" s="169">
        <f>'Scenario 2&amp;3'!E387</f>
        <v>0.52185020829301898</v>
      </c>
      <c r="BA3" s="169">
        <f>'Scenario 2&amp;3'!E401</f>
        <v>0.52219707753623801</v>
      </c>
      <c r="BB3" s="169">
        <f>'Scenario 2&amp;3'!E415</f>
        <v>0.52246686472540804</v>
      </c>
      <c r="BC3" s="169">
        <f>'Scenario 2&amp;3'!E429</f>
        <v>0.52268269447674498</v>
      </c>
      <c r="BD3" s="267"/>
    </row>
    <row r="4" spans="1:56" ht="18">
      <c r="A4" s="168" t="s">
        <v>23</v>
      </c>
      <c r="B4" s="169">
        <f>'Scenario 1'!E29</f>
        <v>-1.2973490024596901</v>
      </c>
      <c r="C4" s="170">
        <f>'Scenario 1'!E41</f>
        <v>-1.0556618383893599</v>
      </c>
      <c r="D4" s="169">
        <f>'Scenario 1'!E53</f>
        <v>-0.88302814976769695</v>
      </c>
      <c r="E4" s="175">
        <f>'Scenario 1'!E67</f>
        <v>-0.75355288330144798</v>
      </c>
      <c r="F4" s="169">
        <f>'Scenario 1'!E81</f>
        <v>-0.65284989827214501</v>
      </c>
      <c r="G4" s="169">
        <f>'Scenario 1'!E95</f>
        <v>-0.57228751024870195</v>
      </c>
      <c r="H4" s="169">
        <f>'Scenario 1'!E109</f>
        <v>-0.50637282913861204</v>
      </c>
      <c r="I4" s="169">
        <f>'Scenario 1'!E123</f>
        <v>-0.45144392821353702</v>
      </c>
      <c r="J4" s="169">
        <f>'Scenario 1'!E137</f>
        <v>-0.33060034617837297</v>
      </c>
      <c r="K4" s="169">
        <f>'Scenario 1'!E151</f>
        <v>-0.20975676414320901</v>
      </c>
      <c r="L4" s="169">
        <f>'Scenario 1'!E165</f>
        <v>-0.13725061492210999</v>
      </c>
      <c r="M4" s="169">
        <f>'Scenario 1'!E179</f>
        <v>-8.8913182108043998E-2</v>
      </c>
      <c r="N4" s="169">
        <f>'Scenario 1'!E193</f>
        <v>-5.4386444383711499E-2</v>
      </c>
      <c r="O4" s="169">
        <f>'Scenario 1'!E207</f>
        <v>-2.8491391090461799E-2</v>
      </c>
      <c r="P4" s="169">
        <f>'Scenario 1'!E221</f>
        <v>-8.3507940846011507E-3</v>
      </c>
      <c r="Q4" s="169">
        <f>'Scenario 1'!E235</f>
        <v>7.7616835200875599E-3</v>
      </c>
      <c r="S4" s="168" t="s">
        <v>23</v>
      </c>
      <c r="T4" s="185">
        <f>'Scenario 2&amp;3'!E7</f>
        <v>-1.6598797485651799</v>
      </c>
      <c r="U4" s="170">
        <f>'Scenario 2&amp;3'!E19</f>
        <v>-1.2973490024596901</v>
      </c>
      <c r="V4" s="175">
        <f>'Scenario 2&amp;3'!E31</f>
        <v>-1.0556618383893599</v>
      </c>
      <c r="W4" s="169">
        <f>'Scenario 2&amp;3'!E43</f>
        <v>-0.88302814976769695</v>
      </c>
      <c r="X4" s="169">
        <f>'Scenario 2&amp;3'!E55</f>
        <v>-0.75355288330144898</v>
      </c>
      <c r="Y4" s="169">
        <f>'Scenario 2&amp;3'!E67</f>
        <v>-0.65284989827214501</v>
      </c>
      <c r="Z4" s="169">
        <f>'Scenario 2&amp;3'!E81</f>
        <v>-0.57228751024870195</v>
      </c>
      <c r="AA4" s="169">
        <f>'Scenario 2&amp;3'!E93</f>
        <v>-0.50637282913861204</v>
      </c>
      <c r="AB4" s="169">
        <f>'Scenario 2&amp;3'!E107</f>
        <v>-0.45144392821353702</v>
      </c>
      <c r="AC4" s="169">
        <f>'Scenario 2&amp;3'!E121</f>
        <v>-0.33060034617837297</v>
      </c>
      <c r="AD4" s="169">
        <f>'Scenario 2&amp;3'!E133</f>
        <v>-0.20975676414320901</v>
      </c>
      <c r="AE4" s="169">
        <f>'Scenario 2&amp;3'!E145</f>
        <v>-0.13725061492210999</v>
      </c>
      <c r="AF4" s="169">
        <f>'Scenario 2&amp;3'!E157</f>
        <v>-8.8913182108043998E-2</v>
      </c>
      <c r="AG4" s="169">
        <f>'Scenario 2&amp;3'!E169</f>
        <v>-5.4386444383711402E-2</v>
      </c>
      <c r="AH4" s="169">
        <f>'Scenario 2&amp;3'!E181</f>
        <v>-2.84913910904619E-2</v>
      </c>
      <c r="AI4" s="169">
        <f>'Scenario 2&amp;3'!E193</f>
        <v>-8.3507940846011507E-3</v>
      </c>
      <c r="AJ4" s="169">
        <f>'Scenario 2&amp;3'!E205</f>
        <v>7.7616835200877404E-3</v>
      </c>
      <c r="AM4" s="168" t="s">
        <v>23</v>
      </c>
      <c r="AN4" s="169">
        <f>'Scenario 2&amp;3'!E220</f>
        <v>-2.03072397646776</v>
      </c>
      <c r="AO4" s="169">
        <f>'Scenario 2&amp;3'!E234</f>
        <v>-1.71219834313843</v>
      </c>
      <c r="AP4" s="169">
        <f>'Scenario 2&amp;3'!E248</f>
        <v>-1.4846800336174799</v>
      </c>
      <c r="AQ4" s="169">
        <f>'Scenario 2&amp;3'!E262</f>
        <v>-1.31404130147677</v>
      </c>
      <c r="AR4" s="169">
        <f>'Scenario 2&amp;3'!E276</f>
        <v>-1.1813222875895499</v>
      </c>
      <c r="AS4" s="170">
        <f>'Scenario 2&amp;3'!E290</f>
        <v>-1.0751470764797699</v>
      </c>
      <c r="AT4" s="169">
        <f>'Scenario 2&amp;3'!E304</f>
        <v>-0.98827644920813396</v>
      </c>
      <c r="AU4" s="169">
        <f>'Scenario 2&amp;3'!E318</f>
        <v>-0.91588425981510402</v>
      </c>
      <c r="AV4" s="169">
        <f>'Scenario 2&amp;3'!E332</f>
        <v>-0.756621443150438</v>
      </c>
      <c r="AW4" s="169">
        <f>'Scenario 2&amp;3'!E346</f>
        <v>-0.59735862648577298</v>
      </c>
      <c r="AX4" s="169">
        <f>'Scenario 2&amp;3'!E360</f>
        <v>-0.50180093648697399</v>
      </c>
      <c r="AY4" s="169">
        <f>'Scenario 2&amp;3'!E374</f>
        <v>-0.43809580982110702</v>
      </c>
      <c r="AZ4" s="169">
        <f>'Scenario 2&amp;3'!E388</f>
        <v>-0.39259214791691699</v>
      </c>
      <c r="BA4" s="169">
        <f>'Scenario 2&amp;3'!E402</f>
        <v>-0.35846440148877401</v>
      </c>
      <c r="BB4" s="169">
        <f>'Scenario 2&amp;3'!E416</f>
        <v>-0.33192059871133001</v>
      </c>
      <c r="BC4" s="169">
        <f>'Scenario 2&amp;3'!E430</f>
        <v>-0.31068555648937501</v>
      </c>
      <c r="BD4" s="267"/>
    </row>
    <row r="5" spans="1:56" ht="18">
      <c r="A5" s="168" t="s">
        <v>24</v>
      </c>
      <c r="B5" s="169">
        <f>'Scenario 1'!E30</f>
        <v>0.12073221731994099</v>
      </c>
      <c r="C5" s="170">
        <f>'Scenario 1'!E42</f>
        <v>0.138140078360943</v>
      </c>
      <c r="D5" s="169">
        <f>'Scenario 1'!E54</f>
        <v>0.15057426481880101</v>
      </c>
      <c r="E5" s="175">
        <f>'Scenario 1'!E68</f>
        <v>0.159899904662195</v>
      </c>
      <c r="F5" s="169">
        <f>'Scenario 1'!E82</f>
        <v>0.16715318009594601</v>
      </c>
      <c r="G5" s="169">
        <f>'Scenario 1'!E96</f>
        <v>0.17295580044294701</v>
      </c>
      <c r="H5" s="169">
        <f>'Scenario 1'!E110</f>
        <v>0.17770339890867401</v>
      </c>
      <c r="I5" s="169">
        <f>'Scenario 1'!E124</f>
        <v>0.18165973096344801</v>
      </c>
      <c r="J5" s="169">
        <f>'Scenario 1'!E138</f>
        <v>0.19036366148394801</v>
      </c>
      <c r="K5" s="169">
        <f>'Scenario 1'!E152</f>
        <v>0.19340097602482501</v>
      </c>
      <c r="L5" s="169">
        <f>'Scenario 1'!E166</f>
        <v>0.199756657533051</v>
      </c>
      <c r="M5" s="169">
        <f>'Scenario 1'!E180</f>
        <v>0.20399377853853401</v>
      </c>
      <c r="N5" s="169">
        <f>'Scenario 1'!E194</f>
        <v>0.20378222726838</v>
      </c>
      <c r="O5" s="169">
        <f>'Scenario 1'!E208</f>
        <v>0.20645687180557601</v>
      </c>
      <c r="P5" s="169">
        <f>'Scenario 1'!E222</f>
        <v>0.208537150890063</v>
      </c>
      <c r="Q5" s="169">
        <f>'Scenario 1'!E236</f>
        <v>0.20793472776580199</v>
      </c>
      <c r="S5" s="168" t="s">
        <v>24</v>
      </c>
      <c r="T5" s="185">
        <f>'Scenario 2&amp;3'!E8</f>
        <v>0.138140078360943</v>
      </c>
      <c r="U5" s="170">
        <f>'Scenario 2&amp;3'!E20</f>
        <v>0.155547939401945</v>
      </c>
      <c r="V5" s="175">
        <f>'Scenario 2&amp;3'!E32</f>
        <v>0.16715318009594601</v>
      </c>
      <c r="W5" s="169">
        <f>'Scenario 2&amp;3'!E44</f>
        <v>0.17544263773451799</v>
      </c>
      <c r="X5" s="169">
        <f>'Scenario 2&amp;3'!E56</f>
        <v>0.18165973096344801</v>
      </c>
      <c r="Y5" s="169">
        <f>'Scenario 2&amp;3'!E68</f>
        <v>0.18649524791928099</v>
      </c>
      <c r="Z5" s="169">
        <f>'Scenario 2&amp;3'!E82</f>
        <v>0.19036366148394801</v>
      </c>
      <c r="AA5" s="169">
        <f>'Scenario 2&amp;3'!E94</f>
        <v>0.186660101697919</v>
      </c>
      <c r="AB5" s="169">
        <f>'Scenario 2&amp;3'!E108</f>
        <v>0.18987004185358899</v>
      </c>
      <c r="AC5" s="169">
        <f>'Scenario 2&amp;3'!E122</f>
        <v>0.19693191019606099</v>
      </c>
      <c r="AD5" s="169">
        <f>'Scenario 2&amp;3'!E134</f>
        <v>0.20399377853853401</v>
      </c>
      <c r="AE5" s="169">
        <f>'Scenario 2&amp;3'!E146</f>
        <v>0.205208704354885</v>
      </c>
      <c r="AF5" s="169">
        <f>'Scenario 2&amp;3'!E158</f>
        <v>0.208537150890063</v>
      </c>
      <c r="AG5" s="169">
        <f>'Scenario 2&amp;3'!E170</f>
        <v>0.20875590185152301</v>
      </c>
      <c r="AH5" s="169">
        <f>'Scenario 2&amp;3'!E182</f>
        <v>0.21080883706582701</v>
      </c>
      <c r="AI5" s="169">
        <f>'Scenario 2&amp;3'!E194</f>
        <v>0.21072656712743401</v>
      </c>
      <c r="AJ5" s="169">
        <f>'Scenario 2&amp;3'!E206</f>
        <v>0.212171848771286</v>
      </c>
      <c r="AM5" s="168" t="s">
        <v>24</v>
      </c>
      <c r="AN5" s="169">
        <f>'Scenario 2&amp;3'!E221</f>
        <v>5.41045374835811E-2</v>
      </c>
      <c r="AO5" s="169">
        <f>'Scenario 2&amp;3'!E235</f>
        <v>7.2831502232147904E-2</v>
      </c>
      <c r="AP5" s="169">
        <f>'Scenario 2&amp;3'!E249</f>
        <v>8.6207905623981201E-2</v>
      </c>
      <c r="AQ5" s="169">
        <f>'Scenario 2&amp;3'!E263</f>
        <v>9.6240208167856403E-2</v>
      </c>
      <c r="AR5" s="169">
        <f>'Scenario 2&amp;3'!E277</f>
        <v>0.104043110146426</v>
      </c>
      <c r="AS5" s="170">
        <f>'Scenario 2&amp;3'!E291</f>
        <v>0.110285431729281</v>
      </c>
      <c r="AT5" s="169">
        <f>'Scenario 2&amp;3'!E305</f>
        <v>0.115392785751618</v>
      </c>
      <c r="AU5" s="169">
        <f>'Scenario 2&amp;3'!E319</f>
        <v>0.119648914103565</v>
      </c>
      <c r="AV5" s="169">
        <f>'Scenario 2&amp;3'!E333</f>
        <v>0.12901239647784801</v>
      </c>
      <c r="AW5" s="169">
        <f>'Scenario 2&amp;3'!E347</f>
        <v>0.13227986754757601</v>
      </c>
      <c r="AX5" s="169">
        <f>'Scenario 2&amp;3'!E361</f>
        <v>0.13911715923305701</v>
      </c>
      <c r="AY5" s="169">
        <f>'Scenario 2&amp;3'!E375</f>
        <v>0.143675353690044</v>
      </c>
      <c r="AZ5" s="169">
        <f>'Scenario 2&amp;3'!E389</f>
        <v>0.14344777184243199</v>
      </c>
      <c r="BA5" s="169">
        <f>'Scenario 2&amp;3'!E403</f>
        <v>0.14632509110900099</v>
      </c>
      <c r="BB5" s="169">
        <f>'Scenario 2&amp;3'!E417</f>
        <v>0.14856300609411</v>
      </c>
      <c r="BC5" s="169">
        <f>'Scenario 2&amp;3'!E431</f>
        <v>0.14791493356037499</v>
      </c>
      <c r="BD5" s="267"/>
    </row>
    <row r="6" spans="1:56" ht="18">
      <c r="A6" s="171" t="s">
        <v>25</v>
      </c>
      <c r="B6" s="169">
        <f>'Scenario 1'!E31</f>
        <v>0.66286945812807896</v>
      </c>
      <c r="C6" s="170">
        <f>'Scenario 1'!E43</f>
        <v>0.66286945812807896</v>
      </c>
      <c r="D6" s="169">
        <f>'Scenario 1'!E55</f>
        <v>0.66286945812807896</v>
      </c>
      <c r="E6" s="175">
        <f>'Scenario 1'!E69</f>
        <v>0.66286945812807896</v>
      </c>
      <c r="F6" s="169">
        <f>'Scenario 1'!E83</f>
        <v>0.66286945812807896</v>
      </c>
      <c r="G6" s="169">
        <f>'Scenario 1'!E97</f>
        <v>0.66286945812807896</v>
      </c>
      <c r="H6" s="169">
        <f>'Scenario 1'!E111</f>
        <v>0.66286945812807896</v>
      </c>
      <c r="I6" s="169">
        <f>'Scenario 1'!E125</f>
        <v>0.66286945812807896</v>
      </c>
      <c r="J6" s="169">
        <f>'Scenario 1'!E139</f>
        <v>0.66286945812807896</v>
      </c>
      <c r="K6" s="169">
        <f>'Scenario 1'!E153</f>
        <v>0.66286945812807896</v>
      </c>
      <c r="L6" s="169">
        <f>'Scenario 1'!E167</f>
        <v>0.66286945812807896</v>
      </c>
      <c r="M6" s="169">
        <f>'Scenario 1'!E181</f>
        <v>0.66286945812807896</v>
      </c>
      <c r="N6" s="169">
        <f>'Scenario 1'!E195</f>
        <v>0.66286945812807896</v>
      </c>
      <c r="O6" s="169">
        <f>'Scenario 1'!E209</f>
        <v>0.66286945812807896</v>
      </c>
      <c r="P6" s="169">
        <f>'Scenario 1'!E223</f>
        <v>0.66286945812807896</v>
      </c>
      <c r="Q6" s="169">
        <f>'Scenario 1'!E237</f>
        <v>0.66286945812807896</v>
      </c>
      <c r="S6" s="171" t="s">
        <v>25</v>
      </c>
      <c r="T6" s="185">
        <f>'Scenario 2&amp;3'!E9</f>
        <v>0.66286945812807896</v>
      </c>
      <c r="U6" s="170">
        <f>'Scenario 2&amp;3'!E21</f>
        <v>0.66286945812807896</v>
      </c>
      <c r="V6" s="175">
        <f>'Scenario 2&amp;3'!E33</f>
        <v>0.66286945812807896</v>
      </c>
      <c r="W6" s="169">
        <f>'Scenario 2&amp;3'!E45</f>
        <v>0.66286945812807896</v>
      </c>
      <c r="X6" s="169">
        <f>'Scenario 2&amp;3'!E57</f>
        <v>0.66286945812807896</v>
      </c>
      <c r="Y6" s="169">
        <f>'Scenario 2&amp;3'!E69</f>
        <v>0.66286945812807896</v>
      </c>
      <c r="Z6" s="169">
        <f>'Scenario 2&amp;3'!E83</f>
        <v>0.66286945812807896</v>
      </c>
      <c r="AA6" s="169">
        <f>'Scenario 2&amp;3'!E95</f>
        <v>0.66286945812807896</v>
      </c>
      <c r="AB6" s="169">
        <f>'Scenario 2&amp;3'!E109</f>
        <v>0.66286945812807896</v>
      </c>
      <c r="AC6" s="169">
        <f>'Scenario 2&amp;3'!E123</f>
        <v>0.66286945812807896</v>
      </c>
      <c r="AD6" s="169">
        <f>'Scenario 2&amp;3'!E135</f>
        <v>0.66286945812807896</v>
      </c>
      <c r="AE6" s="169">
        <f>'Scenario 2&amp;3'!E147</f>
        <v>0.66286945812807896</v>
      </c>
      <c r="AF6" s="169">
        <f>'Scenario 2&amp;3'!E159</f>
        <v>0.66286945812807896</v>
      </c>
      <c r="AG6" s="169">
        <f>'Scenario 2&amp;3'!E171</f>
        <v>0.66286945812807896</v>
      </c>
      <c r="AH6" s="169">
        <f>'Scenario 2&amp;3'!E183</f>
        <v>0.66286945812807896</v>
      </c>
      <c r="AI6" s="169">
        <f>'Scenario 2&amp;3'!E195</f>
        <v>0.66286945812807896</v>
      </c>
      <c r="AJ6" s="169">
        <f>'Scenario 2&amp;3'!E207</f>
        <v>0.66286945812807896</v>
      </c>
      <c r="AM6" s="171" t="s">
        <v>25</v>
      </c>
      <c r="AN6" s="169">
        <f>'Scenario 2&amp;3'!E222</f>
        <v>0.66286945812807896</v>
      </c>
      <c r="AO6" s="169">
        <f>'Scenario 2&amp;3'!E236</f>
        <v>0.66286945812807896</v>
      </c>
      <c r="AP6" s="169">
        <f>'Scenario 2&amp;3'!E250</f>
        <v>0.66286945812807896</v>
      </c>
      <c r="AQ6" s="169">
        <f>'Scenario 2&amp;3'!E264</f>
        <v>0.66286945812807896</v>
      </c>
      <c r="AR6" s="169">
        <f>'Scenario 2&amp;3'!E278</f>
        <v>0.66286945812807896</v>
      </c>
      <c r="AS6" s="170">
        <f>'Scenario 2&amp;3'!E292</f>
        <v>0.66286945812807896</v>
      </c>
      <c r="AT6" s="169">
        <f>'Scenario 2&amp;3'!E306</f>
        <v>0.66286945812807896</v>
      </c>
      <c r="AU6" s="169">
        <f>'Scenario 2&amp;3'!E320</f>
        <v>0.66286945812807896</v>
      </c>
      <c r="AV6" s="169">
        <f>'Scenario 2&amp;3'!E334</f>
        <v>0.66286945812807896</v>
      </c>
      <c r="AW6" s="169">
        <f>'Scenario 2&amp;3'!E348</f>
        <v>0.66286945812807896</v>
      </c>
      <c r="AX6" s="169">
        <f>'Scenario 2&amp;3'!E362</f>
        <v>0.66286945812807896</v>
      </c>
      <c r="AY6" s="169">
        <f>'Scenario 2&amp;3'!E376</f>
        <v>0.66286945812807896</v>
      </c>
      <c r="AZ6" s="169">
        <f>'Scenario 2&amp;3'!E390</f>
        <v>0.66286945812807896</v>
      </c>
      <c r="BA6" s="169">
        <f>'Scenario 2&amp;3'!E404</f>
        <v>0.66286945812807896</v>
      </c>
      <c r="BB6" s="169">
        <f>'Scenario 2&amp;3'!E418</f>
        <v>0.66286945812807896</v>
      </c>
      <c r="BC6" s="169">
        <f>'Scenario 2&amp;3'!E432</f>
        <v>0.66286945812807896</v>
      </c>
      <c r="BD6" s="267"/>
    </row>
    <row r="7" spans="1:56" ht="18">
      <c r="A7" s="171" t="s">
        <v>26</v>
      </c>
      <c r="B7" s="169">
        <f>'Scenario 1'!E32</f>
        <v>0.751486034164358</v>
      </c>
      <c r="C7" s="170">
        <f>'Scenario 1'!E44</f>
        <v>0.751486034164358</v>
      </c>
      <c r="D7" s="169">
        <f>'Scenario 1'!E56</f>
        <v>0.751486034164358</v>
      </c>
      <c r="E7" s="175">
        <f>'Scenario 1'!E70</f>
        <v>0.751486034164358</v>
      </c>
      <c r="F7" s="169">
        <f>'Scenario 1'!E84</f>
        <v>0.751486034164358</v>
      </c>
      <c r="G7" s="169">
        <f>'Scenario 1'!E98</f>
        <v>0.751486034164358</v>
      </c>
      <c r="H7" s="169">
        <f>'Scenario 1'!E112</f>
        <v>0.751486034164358</v>
      </c>
      <c r="I7" s="169">
        <f>'Scenario 1'!E126</f>
        <v>0.751486034164358</v>
      </c>
      <c r="J7" s="169">
        <f>'Scenario 1'!E140</f>
        <v>0.751486034164358</v>
      </c>
      <c r="K7" s="169">
        <f>'Scenario 1'!E154</f>
        <v>0.751486034164358</v>
      </c>
      <c r="L7" s="169">
        <f>'Scenario 1'!E168</f>
        <v>0.751486034164358</v>
      </c>
      <c r="M7" s="169">
        <f>'Scenario 1'!E182</f>
        <v>0.751486034164358</v>
      </c>
      <c r="N7" s="169">
        <f>'Scenario 1'!E196</f>
        <v>0.751486034164358</v>
      </c>
      <c r="O7" s="169">
        <f>'Scenario 1'!E210</f>
        <v>0.751486034164358</v>
      </c>
      <c r="P7" s="169">
        <f>'Scenario 1'!E224</f>
        <v>0.751486034164358</v>
      </c>
      <c r="Q7" s="169">
        <f>'Scenario 1'!E238</f>
        <v>0.751486034164358</v>
      </c>
      <c r="S7" s="171" t="s">
        <v>26</v>
      </c>
      <c r="T7" s="185">
        <f>'Scenario 2&amp;3'!E10</f>
        <v>0.751486034164358</v>
      </c>
      <c r="U7" s="170">
        <f>'Scenario 2&amp;3'!E22</f>
        <v>0.751486034164358</v>
      </c>
      <c r="V7" s="175">
        <f>'Scenario 2&amp;3'!E34</f>
        <v>0.751486034164358</v>
      </c>
      <c r="W7" s="169">
        <f>'Scenario 2&amp;3'!E46</f>
        <v>0.751486034164358</v>
      </c>
      <c r="X7" s="169">
        <f>'Scenario 2&amp;3'!E58</f>
        <v>0.751486034164358</v>
      </c>
      <c r="Y7" s="169">
        <f>'Scenario 2&amp;3'!E70</f>
        <v>0.751486034164358</v>
      </c>
      <c r="Z7" s="169">
        <f>'Scenario 2&amp;3'!E84</f>
        <v>0.751486034164358</v>
      </c>
      <c r="AA7" s="169">
        <f>'Scenario 2&amp;3'!E96</f>
        <v>0.751486034164358</v>
      </c>
      <c r="AB7" s="169">
        <f>'Scenario 2&amp;3'!E110</f>
        <v>0.751486034164358</v>
      </c>
      <c r="AC7" s="169">
        <f>'Scenario 2&amp;3'!E124</f>
        <v>0.751486034164358</v>
      </c>
      <c r="AD7" s="169">
        <f>'Scenario 2&amp;3'!E136</f>
        <v>0.751486034164358</v>
      </c>
      <c r="AE7" s="169">
        <f>'Scenario 2&amp;3'!E148</f>
        <v>0.751486034164358</v>
      </c>
      <c r="AF7" s="169">
        <f>'Scenario 2&amp;3'!E160</f>
        <v>0.751486034164358</v>
      </c>
      <c r="AG7" s="169">
        <f>'Scenario 2&amp;3'!E172</f>
        <v>0.751486034164358</v>
      </c>
      <c r="AH7" s="169">
        <f>'Scenario 2&amp;3'!E184</f>
        <v>0.751486034164358</v>
      </c>
      <c r="AI7" s="169">
        <f>'Scenario 2&amp;3'!E196</f>
        <v>0.751486034164358</v>
      </c>
      <c r="AJ7" s="169">
        <f>'Scenario 2&amp;3'!E208</f>
        <v>0.751486034164358</v>
      </c>
      <c r="AM7" s="171" t="s">
        <v>26</v>
      </c>
      <c r="AN7" s="169">
        <f>'Scenario 2&amp;3'!E223</f>
        <v>0.751486034164358</v>
      </c>
      <c r="AO7" s="169">
        <f>'Scenario 2&amp;3'!E237</f>
        <v>0.751486034164358</v>
      </c>
      <c r="AP7" s="169">
        <f>'Scenario 2&amp;3'!E251</f>
        <v>0.751486034164358</v>
      </c>
      <c r="AQ7" s="169">
        <f>'Scenario 2&amp;3'!E265</f>
        <v>0.751486034164358</v>
      </c>
      <c r="AR7" s="169">
        <f>'Scenario 2&amp;3'!E279</f>
        <v>0.751486034164358</v>
      </c>
      <c r="AS7" s="170">
        <f>'Scenario 2&amp;3'!E293</f>
        <v>0.751486034164358</v>
      </c>
      <c r="AT7" s="169">
        <f>'Scenario 2&amp;3'!E307</f>
        <v>0.751486034164358</v>
      </c>
      <c r="AU7" s="169">
        <f>'Scenario 2&amp;3'!E321</f>
        <v>0.751486034164358</v>
      </c>
      <c r="AV7" s="169">
        <f>'Scenario 2&amp;3'!E335</f>
        <v>0.751486034164358</v>
      </c>
      <c r="AW7" s="169">
        <f>'Scenario 2&amp;3'!E349</f>
        <v>0.751486034164358</v>
      </c>
      <c r="AX7" s="169">
        <f>'Scenario 2&amp;3'!E363</f>
        <v>0.751486034164358</v>
      </c>
      <c r="AY7" s="169">
        <f>'Scenario 2&amp;3'!E377</f>
        <v>0.751486034164358</v>
      </c>
      <c r="AZ7" s="169">
        <f>'Scenario 2&amp;3'!E391</f>
        <v>0.751486034164358</v>
      </c>
      <c r="BA7" s="169">
        <f>'Scenario 2&amp;3'!E405</f>
        <v>0.751486034164358</v>
      </c>
      <c r="BB7" s="169">
        <f>'Scenario 2&amp;3'!E419</f>
        <v>0.751486034164358</v>
      </c>
      <c r="BC7" s="169">
        <f>'Scenario 2&amp;3'!E433</f>
        <v>0.751486034164358</v>
      </c>
      <c r="BD7" s="267"/>
    </row>
    <row r="8" spans="1:56" ht="18">
      <c r="A8" s="171" t="s">
        <v>27</v>
      </c>
      <c r="B8" s="169">
        <f>'Scenario 1'!E33</f>
        <v>0.8</v>
      </c>
      <c r="C8" s="170">
        <f>'Scenario 1'!E45</f>
        <v>0.8</v>
      </c>
      <c r="D8" s="169">
        <f>'Scenario 1'!E57</f>
        <v>0.8</v>
      </c>
      <c r="E8" s="175">
        <f>'Scenario 1'!E71</f>
        <v>0.8</v>
      </c>
      <c r="F8" s="169">
        <f>'Scenario 1'!E85</f>
        <v>0.8</v>
      </c>
      <c r="G8" s="169">
        <f>'Scenario 1'!E99</f>
        <v>0.8</v>
      </c>
      <c r="H8" s="169">
        <f>'Scenario 1'!E113</f>
        <v>0.8</v>
      </c>
      <c r="I8" s="169">
        <f>'Scenario 1'!E127</f>
        <v>0.8</v>
      </c>
      <c r="J8" s="169">
        <f>'Scenario 1'!E141</f>
        <v>0.8</v>
      </c>
      <c r="K8" s="169">
        <f>'Scenario 1'!E155</f>
        <v>0.8</v>
      </c>
      <c r="L8" s="169">
        <f>'Scenario 1'!E169</f>
        <v>0.8</v>
      </c>
      <c r="M8" s="169">
        <f>'Scenario 1'!E183</f>
        <v>0.8</v>
      </c>
      <c r="N8" s="169">
        <f>'Scenario 1'!E197</f>
        <v>0.8</v>
      </c>
      <c r="O8" s="169">
        <f>'Scenario 1'!E211</f>
        <v>0.8</v>
      </c>
      <c r="P8" s="169">
        <f>'Scenario 1'!E225</f>
        <v>0.8</v>
      </c>
      <c r="Q8" s="169">
        <f>'Scenario 1'!E239</f>
        <v>0.8</v>
      </c>
      <c r="S8" s="171" t="s">
        <v>27</v>
      </c>
      <c r="T8" s="185">
        <f>'Scenario 2&amp;3'!E11</f>
        <v>0.8</v>
      </c>
      <c r="U8" s="170">
        <f>'Scenario 2&amp;3'!E23</f>
        <v>0.8</v>
      </c>
      <c r="V8" s="175">
        <f>'Scenario 2&amp;3'!E35</f>
        <v>0.8</v>
      </c>
      <c r="W8" s="169">
        <f>'Scenario 2&amp;3'!E47</f>
        <v>0.8</v>
      </c>
      <c r="X8" s="169">
        <f>'Scenario 2&amp;3'!E59</f>
        <v>0.8</v>
      </c>
      <c r="Y8" s="169">
        <f>'Scenario 2&amp;3'!E71</f>
        <v>0.8</v>
      </c>
      <c r="Z8" s="169">
        <f>'Scenario 2&amp;3'!E85</f>
        <v>0.8</v>
      </c>
      <c r="AA8" s="169">
        <f>'Scenario 2&amp;3'!E97</f>
        <v>0.8</v>
      </c>
      <c r="AB8" s="169">
        <f>'Scenario 2&amp;3'!E111</f>
        <v>0.8</v>
      </c>
      <c r="AC8" s="169">
        <f>'Scenario 2&amp;3'!E125</f>
        <v>0.8</v>
      </c>
      <c r="AD8" s="169">
        <f>'Scenario 2&amp;3'!E137</f>
        <v>0.8</v>
      </c>
      <c r="AE8" s="169">
        <f>'Scenario 2&amp;3'!E149</f>
        <v>0.8</v>
      </c>
      <c r="AF8" s="169">
        <f>'Scenario 2&amp;3'!E161</f>
        <v>0.8</v>
      </c>
      <c r="AG8" s="169">
        <f>'Scenario 2&amp;3'!E173</f>
        <v>0.8</v>
      </c>
      <c r="AH8" s="169">
        <f>'Scenario 2&amp;3'!E185</f>
        <v>0.8</v>
      </c>
      <c r="AI8" s="169">
        <f>'Scenario 2&amp;3'!E197</f>
        <v>0.8</v>
      </c>
      <c r="AJ8" s="169">
        <f>'Scenario 2&amp;3'!E209</f>
        <v>0.8</v>
      </c>
      <c r="AM8" s="171" t="s">
        <v>27</v>
      </c>
      <c r="AN8" s="169">
        <f>'Scenario 2&amp;3'!E224</f>
        <v>0.8</v>
      </c>
      <c r="AO8" s="169">
        <f>'Scenario 2&amp;3'!E238</f>
        <v>0.8</v>
      </c>
      <c r="AP8" s="169">
        <f>'Scenario 2&amp;3'!E252</f>
        <v>0.8</v>
      </c>
      <c r="AQ8" s="169">
        <f>'Scenario 2&amp;3'!E266</f>
        <v>0.8</v>
      </c>
      <c r="AR8" s="169">
        <f>'Scenario 2&amp;3'!E280</f>
        <v>0.8</v>
      </c>
      <c r="AS8" s="170">
        <f>'Scenario 2&amp;3'!E294</f>
        <v>0.8</v>
      </c>
      <c r="AT8" s="169">
        <f>'Scenario 2&amp;3'!E308</f>
        <v>0.8</v>
      </c>
      <c r="AU8" s="169">
        <f>'Scenario 2&amp;3'!E322</f>
        <v>0.8</v>
      </c>
      <c r="AV8" s="169">
        <f>'Scenario 2&amp;3'!E336</f>
        <v>0.8</v>
      </c>
      <c r="AW8" s="169">
        <f>'Scenario 2&amp;3'!E350</f>
        <v>0.8</v>
      </c>
      <c r="AX8" s="169">
        <f>'Scenario 2&amp;3'!E364</f>
        <v>0.8</v>
      </c>
      <c r="AY8" s="169">
        <f>'Scenario 2&amp;3'!E378</f>
        <v>0.8</v>
      </c>
      <c r="AZ8" s="169">
        <f>'Scenario 2&amp;3'!E392</f>
        <v>0.8</v>
      </c>
      <c r="BA8" s="169">
        <f>'Scenario 2&amp;3'!E406</f>
        <v>0.8</v>
      </c>
      <c r="BB8" s="169">
        <f>'Scenario 2&amp;3'!E420</f>
        <v>0.8</v>
      </c>
      <c r="BC8" s="169">
        <f>'Scenario 2&amp;3'!E434</f>
        <v>0.8</v>
      </c>
      <c r="BD8" s="267"/>
    </row>
    <row r="9" spans="1:56" ht="18">
      <c r="A9" s="164" t="s">
        <v>28</v>
      </c>
      <c r="B9" s="169">
        <f>'Scenario 1'!E34</f>
        <v>-4.83911753903443E-2</v>
      </c>
      <c r="C9" s="170">
        <f>'Scenario 1'!E46</f>
        <v>4.8314931846517902E-4</v>
      </c>
      <c r="D9" s="169">
        <f>'Scenario 1'!E58</f>
        <v>3.5412419187725398E-2</v>
      </c>
      <c r="E9" s="175">
        <f>'Scenario 1'!E72</f>
        <v>6.1619790413339003E-2</v>
      </c>
      <c r="F9" s="169">
        <f>'Scenario 1'!E86</f>
        <v>8.2009478758778995E-2</v>
      </c>
      <c r="G9" s="169">
        <f>'Scenario 1'!E100</f>
        <v>9.8325122784606006E-2</v>
      </c>
      <c r="H9" s="169">
        <f>'Scenario 1'!E114</f>
        <v>0.11167686103171</v>
      </c>
      <c r="I9" s="169">
        <f>'Scenario 1'!E128</f>
        <v>0.12280508032088</v>
      </c>
      <c r="J9" s="169">
        <f>'Scenario 1'!E142</f>
        <v>0.147292830960666</v>
      </c>
      <c r="K9" s="169">
        <f>'Scenario 1'!E156</f>
        <v>0.167534983867134</v>
      </c>
      <c r="L9" s="169">
        <f>'Scenario 1'!E170</f>
        <v>0.18308641022812999</v>
      </c>
      <c r="M9" s="169">
        <f>'Scenario 1'!E184</f>
        <v>0.193455678573908</v>
      </c>
      <c r="N9" s="169">
        <f>'Scenario 1'!E198</f>
        <v>0.198432098763236</v>
      </c>
      <c r="O9" s="169">
        <f>'Scenario 1'!E212</f>
        <v>0.20429191631680499</v>
      </c>
      <c r="P9" s="169">
        <f>'Scenario 1'!E226</f>
        <v>0.20884982867229099</v>
      </c>
      <c r="Q9" s="169">
        <f>'Scenario 1'!E240</f>
        <v>0.21079448725394501</v>
      </c>
      <c r="S9" s="164" t="s">
        <v>28</v>
      </c>
      <c r="T9" s="185">
        <f>'Scenario 2&amp;3'!E12</f>
        <v>-7.4228686488083196E-3</v>
      </c>
      <c r="U9" s="170">
        <f>'Scenario 2&amp;3'!E24</f>
        <v>4.4019631431405602E-2</v>
      </c>
      <c r="V9" s="175">
        <f>'Scenario 2&amp;3'!E36</f>
        <v>7.8333764667202405E-2</v>
      </c>
      <c r="W9" s="169">
        <f>'Scenario 2&amp;3'!E48</f>
        <v>0.10285323791338</v>
      </c>
      <c r="X9" s="169">
        <f>'Scenario 2&amp;3'!E60</f>
        <v>0.121247974060141</v>
      </c>
      <c r="Y9" s="169">
        <f>'Scenario 2&amp;3'!E72</f>
        <v>0.13555803291284099</v>
      </c>
      <c r="Z9" s="169">
        <f>'Scenario 2&amp;3'!E86</f>
        <v>0.147007996910379</v>
      </c>
      <c r="AA9" s="169">
        <f>'Scenario 2&amp;3'!E98</f>
        <v>0.15095440227567999</v>
      </c>
      <c r="AB9" s="169">
        <f>'Scenario 2&amp;3'!E112</f>
        <v>0.15921478961278801</v>
      </c>
      <c r="AC9" s="169">
        <f>'Scenario 2&amp;3'!E126</f>
        <v>0.17739059315146599</v>
      </c>
      <c r="AD9" s="169">
        <f>'Scenario 2&amp;3'!E138</f>
        <v>0.19557045597338499</v>
      </c>
      <c r="AE9" s="169">
        <f>'Scenario 2&amp;3'!E150</f>
        <v>0.20409338228972901</v>
      </c>
      <c r="AF9" s="169">
        <f>'Scenario 2&amp;3'!E162</f>
        <v>0.211765173582213</v>
      </c>
      <c r="AG9" s="169">
        <f>'Scenario 2&amp;3'!E174</f>
        <v>0.215540356169862</v>
      </c>
      <c r="AH9" s="169">
        <f>'Scenario 2&amp;3'!E186</f>
        <v>0.21986388892828301</v>
      </c>
      <c r="AI9" s="169">
        <f>'Scenario 2&amp;3'!E198</f>
        <v>0.221900543726854</v>
      </c>
      <c r="AJ9" s="169">
        <f>'Scenario 2&amp;3'!E210</f>
        <v>0.22472355231652499</v>
      </c>
      <c r="AM9" s="164" t="s">
        <v>28</v>
      </c>
      <c r="AN9" s="169">
        <f>'Scenario 2&amp;3'!E225</f>
        <v>-0.150551199649302</v>
      </c>
      <c r="AO9" s="169">
        <f>'Scenario 2&amp;3'!E239</f>
        <v>-9.6965500041036198E-2</v>
      </c>
      <c r="AP9" s="169">
        <f>'Scenario 2&amp;3'!E253</f>
        <v>-5.8667099318421803E-2</v>
      </c>
      <c r="AQ9" s="169">
        <f>'Scenario 2&amp;3'!E267</f>
        <v>-2.9930764953894899E-2</v>
      </c>
      <c r="AR9" s="169">
        <f>'Scenario 2&amp;3'!E281</f>
        <v>-7.57285089797919E-3</v>
      </c>
      <c r="AS9" s="170">
        <f>'Scenario 2&amp;3'!E295</f>
        <v>1.0318164465314E-2</v>
      </c>
      <c r="AT9" s="169">
        <f>'Scenario 2&amp;3'!E309</f>
        <v>2.4959365988324399E-2</v>
      </c>
      <c r="AU9" s="169">
        <f>'Scenario 2&amp;3'!E323</f>
        <v>3.7162497782586401E-2</v>
      </c>
      <c r="AV9" s="169">
        <f>'Scenario 2&amp;3'!E337</f>
        <v>6.4016207791646698E-2</v>
      </c>
      <c r="AW9" s="169">
        <f>'Scenario 2&amp;3'!E351</f>
        <v>8.62122797800772E-2</v>
      </c>
      <c r="AX9" s="169">
        <f>'Scenario 2&amp;3'!E365</f>
        <v>0.10326765253661099</v>
      </c>
      <c r="AY9" s="169">
        <f>'Scenario 2&amp;3'!E379</f>
        <v>0.114639887541583</v>
      </c>
      <c r="AZ9" s="169">
        <f>'Scenario 2&amp;3'!E393</f>
        <v>0.120096418303502</v>
      </c>
      <c r="BA9" s="169">
        <f>'Scenario 2&amp;3'!E407</f>
        <v>0.12652329529756401</v>
      </c>
      <c r="BB9" s="169">
        <f>'Scenario 2&amp;3'!E421</f>
        <v>0.13152231013680299</v>
      </c>
      <c r="BC9" s="169">
        <f>'Scenario 2&amp;3'!E435</f>
        <v>0.13365433664479701</v>
      </c>
      <c r="BD9" s="267"/>
    </row>
    <row r="10" spans="1:56" ht="18">
      <c r="A10" s="172"/>
      <c r="B10" s="172"/>
      <c r="C10" s="173"/>
      <c r="D10" s="172"/>
      <c r="E10" s="181"/>
      <c r="F10" s="172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S10" s="172"/>
      <c r="T10" s="172"/>
      <c r="U10" s="173"/>
      <c r="V10" s="181"/>
      <c r="W10" s="172"/>
      <c r="X10" s="172"/>
      <c r="Y10" s="172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M10" s="172"/>
      <c r="AN10" s="172"/>
      <c r="AO10" s="172"/>
      <c r="AP10" s="172"/>
      <c r="AQ10" s="172"/>
      <c r="AR10" s="172"/>
      <c r="AS10" s="172"/>
      <c r="AT10" s="172"/>
      <c r="AU10" s="176"/>
      <c r="AV10" s="176"/>
      <c r="AW10" s="176"/>
      <c r="AX10" s="176"/>
      <c r="AY10" s="176"/>
      <c r="AZ10" s="176"/>
      <c r="BA10" s="176"/>
      <c r="BB10" s="176"/>
      <c r="BC10" s="176"/>
      <c r="BD10" s="267"/>
    </row>
    <row r="11" spans="1:56" ht="18">
      <c r="A11" s="74" t="s">
        <v>3</v>
      </c>
      <c r="B11" s="164" t="s">
        <v>51</v>
      </c>
      <c r="C11" s="174"/>
      <c r="E11" s="182"/>
      <c r="J11" s="166"/>
      <c r="K11" s="166"/>
      <c r="L11" s="166"/>
      <c r="M11" s="166"/>
      <c r="N11" s="166"/>
      <c r="S11" s="74" t="s">
        <v>4</v>
      </c>
      <c r="T11" s="164" t="s">
        <v>51</v>
      </c>
      <c r="U11" s="174"/>
      <c r="V11" s="182"/>
      <c r="AC11" s="166"/>
      <c r="AD11" s="166"/>
      <c r="AE11" s="166"/>
      <c r="AF11" s="166"/>
      <c r="AG11" s="166"/>
      <c r="AM11" s="194" t="s">
        <v>5</v>
      </c>
      <c r="AN11" s="164" t="s">
        <v>51</v>
      </c>
      <c r="AV11" s="166"/>
      <c r="AW11" s="166"/>
      <c r="AX11" s="166"/>
      <c r="AY11" s="166"/>
      <c r="AZ11" s="166"/>
      <c r="BD11" s="267"/>
    </row>
    <row r="12" spans="1:56" ht="18">
      <c r="A12" s="165" t="s">
        <v>11</v>
      </c>
      <c r="B12" s="166" t="s">
        <v>31</v>
      </c>
      <c r="C12" s="167" t="s">
        <v>33</v>
      </c>
      <c r="D12" s="166" t="s">
        <v>35</v>
      </c>
      <c r="E12" s="166" t="s">
        <v>36</v>
      </c>
      <c r="F12" s="166" t="s">
        <v>37</v>
      </c>
      <c r="G12" s="166" t="s">
        <v>38</v>
      </c>
      <c r="H12" s="166" t="s">
        <v>39</v>
      </c>
      <c r="I12" s="166" t="s">
        <v>40</v>
      </c>
      <c r="J12" s="166" t="s">
        <v>41</v>
      </c>
      <c r="K12" s="178" t="s">
        <v>42</v>
      </c>
      <c r="L12" s="166" t="s">
        <v>43</v>
      </c>
      <c r="M12" s="178" t="s">
        <v>44</v>
      </c>
      <c r="N12" s="166" t="s">
        <v>45</v>
      </c>
      <c r="O12" s="178" t="s">
        <v>46</v>
      </c>
      <c r="P12" s="166" t="s">
        <v>47</v>
      </c>
      <c r="Q12" s="178" t="s">
        <v>48</v>
      </c>
      <c r="S12" s="165" t="s">
        <v>11</v>
      </c>
      <c r="T12" s="184" t="s">
        <v>49</v>
      </c>
      <c r="U12" s="167" t="s">
        <v>31</v>
      </c>
      <c r="V12" s="184" t="s">
        <v>33</v>
      </c>
      <c r="W12" s="166" t="s">
        <v>35</v>
      </c>
      <c r="X12" s="166" t="s">
        <v>36</v>
      </c>
      <c r="Y12" s="166" t="s">
        <v>37</v>
      </c>
      <c r="Z12" s="166" t="s">
        <v>38</v>
      </c>
      <c r="AA12" s="166" t="s">
        <v>39</v>
      </c>
      <c r="AB12" s="166" t="s">
        <v>40</v>
      </c>
      <c r="AC12" s="166" t="s">
        <v>41</v>
      </c>
      <c r="AD12" s="178" t="s">
        <v>42</v>
      </c>
      <c r="AE12" s="166" t="s">
        <v>43</v>
      </c>
      <c r="AF12" s="178" t="s">
        <v>44</v>
      </c>
      <c r="AG12" s="166" t="s">
        <v>45</v>
      </c>
      <c r="AH12" s="178" t="s">
        <v>46</v>
      </c>
      <c r="AI12" s="166" t="s">
        <v>47</v>
      </c>
      <c r="AJ12" s="178" t="s">
        <v>48</v>
      </c>
      <c r="AM12" s="165" t="s">
        <v>11</v>
      </c>
      <c r="AN12" s="184" t="s">
        <v>31</v>
      </c>
      <c r="AO12" s="184" t="s">
        <v>33</v>
      </c>
      <c r="AP12" s="166" t="s">
        <v>35</v>
      </c>
      <c r="AQ12" s="166" t="s">
        <v>36</v>
      </c>
      <c r="AR12" s="166" t="s">
        <v>37</v>
      </c>
      <c r="AS12" s="167" t="s">
        <v>38</v>
      </c>
      <c r="AT12" s="166" t="s">
        <v>39</v>
      </c>
      <c r="AU12" s="166" t="s">
        <v>40</v>
      </c>
      <c r="AV12" s="166" t="s">
        <v>41</v>
      </c>
      <c r="AW12" s="178" t="s">
        <v>42</v>
      </c>
      <c r="AX12" s="166" t="s">
        <v>43</v>
      </c>
      <c r="AY12" s="178" t="s">
        <v>44</v>
      </c>
      <c r="AZ12" s="166" t="s">
        <v>45</v>
      </c>
      <c r="BA12" s="178" t="s">
        <v>46</v>
      </c>
      <c r="BB12" s="166" t="s">
        <v>47</v>
      </c>
      <c r="BC12" s="178" t="s">
        <v>48</v>
      </c>
      <c r="BD12" s="267"/>
    </row>
    <row r="13" spans="1:56" ht="18">
      <c r="A13" s="168" t="s">
        <v>22</v>
      </c>
      <c r="B13" s="169">
        <f>'Scenario 1'!K28</f>
        <v>0.50520048461851197</v>
      </c>
      <c r="C13" s="170">
        <f>'Scenario 1'!K40</f>
        <v>0.50843793088855505</v>
      </c>
      <c r="D13" s="175">
        <f>'Scenario 1'!K52</f>
        <v>0.51075039251001397</v>
      </c>
      <c r="E13" s="175">
        <f>'Scenario 1'!K66</f>
        <v>0.512484738726109</v>
      </c>
      <c r="F13" s="169">
        <f>'Scenario 1'!K80</f>
        <v>0.51383367467195995</v>
      </c>
      <c r="G13" s="169">
        <f>'Scenario 1'!K94</f>
        <v>0.51491282342864098</v>
      </c>
      <c r="H13" s="169">
        <f>'Scenario 1'!K108</f>
        <v>0.51579576332047095</v>
      </c>
      <c r="I13" s="169">
        <f>'Scenario 1'!K122</f>
        <v>0.51653154656366296</v>
      </c>
      <c r="J13" s="169">
        <f>'Scenario 1'!K136</f>
        <v>0.51815026969868405</v>
      </c>
      <c r="K13" s="169">
        <f>'Scenario 1'!K150</f>
        <v>0.51976899283370603</v>
      </c>
      <c r="L13" s="169">
        <f>'Scenario 1'!K164</f>
        <v>0.52074022671471898</v>
      </c>
      <c r="M13" s="169">
        <f>'Scenario 1'!K178</f>
        <v>0.52138771596872702</v>
      </c>
      <c r="N13" s="169">
        <f>'Scenario 1'!K192</f>
        <v>0.52185020829301898</v>
      </c>
      <c r="O13" s="169">
        <f>'Scenario 1'!K206</f>
        <v>0.52219707753623801</v>
      </c>
      <c r="P13" s="169">
        <f>'Scenario 1'!K220</f>
        <v>0.52246686472540804</v>
      </c>
      <c r="Q13" s="169">
        <f>'Scenario 1'!K234</f>
        <v>0.52268269447674498</v>
      </c>
      <c r="S13" s="168" t="s">
        <v>22</v>
      </c>
      <c r="T13" s="185">
        <f>'Scenario 2&amp;3'!K6</f>
        <v>0.50843793088855505</v>
      </c>
      <c r="U13" s="170">
        <f>'Scenario 2&amp;3'!K18</f>
        <v>0.51167537715859801</v>
      </c>
      <c r="V13" s="175">
        <f>'Scenario 2&amp;3'!K30</f>
        <v>0.51383367467195995</v>
      </c>
      <c r="W13" s="169">
        <f>'Scenario 2&amp;3'!K42</f>
        <v>0.51537531575293305</v>
      </c>
      <c r="X13" s="169">
        <f>'Scenario 2&amp;3'!K54</f>
        <v>0.51653154656366296</v>
      </c>
      <c r="Y13" s="169">
        <f>'Scenario 2&amp;3'!K66</f>
        <v>0.51743083719423</v>
      </c>
      <c r="Z13" s="169">
        <f>'Scenario 2&amp;3'!K80</f>
        <v>0.51815026969868405</v>
      </c>
      <c r="AA13" s="169">
        <f>'Scenario 2&amp;3'!K92</f>
        <v>0.518738896293237</v>
      </c>
      <c r="AB13" s="169">
        <f>'Scenario 2&amp;3'!K106</f>
        <v>0.51922941845536497</v>
      </c>
      <c r="AC13" s="169">
        <f>'Scenario 2&amp;3'!K120</f>
        <v>0.52030856721204599</v>
      </c>
      <c r="AD13" s="169">
        <f>'Scenario 2&amp;3'!K132</f>
        <v>0.52138771596872702</v>
      </c>
      <c r="AE13" s="169">
        <f>'Scenario 2&amp;3'!K144</f>
        <v>0.52203520522273605</v>
      </c>
      <c r="AF13" s="169">
        <f>'Scenario 2&amp;3'!K156</f>
        <v>0.52246686472540804</v>
      </c>
      <c r="AG13" s="169">
        <f>'Scenario 2&amp;3'!K168</f>
        <v>0.52277519294160302</v>
      </c>
      <c r="AH13" s="169">
        <f>'Scenario 2&amp;3'!K180</f>
        <v>0.523006439103749</v>
      </c>
      <c r="AI13" s="169">
        <f>'Scenario 2&amp;3'!K192</f>
        <v>0.52318629722986199</v>
      </c>
      <c r="AJ13" s="169">
        <f>'Scenario 2&amp;3'!K204</f>
        <v>0.52333018373075302</v>
      </c>
      <c r="AM13" s="168" t="s">
        <v>22</v>
      </c>
      <c r="AN13" s="169">
        <f>'Scenario 2&amp;3'!K219</f>
        <v>0.50520048461851197</v>
      </c>
      <c r="AO13" s="169">
        <f>'Scenario 2&amp;3'!K233</f>
        <v>0.50843793088855505</v>
      </c>
      <c r="AP13" s="169">
        <f>'Scenario 2&amp;3'!K247</f>
        <v>0.51075039251001397</v>
      </c>
      <c r="AQ13" s="175">
        <f>'Scenario 2&amp;3'!K261</f>
        <v>0.512484738726109</v>
      </c>
      <c r="AR13" s="169">
        <f>'Scenario 2&amp;3'!K275</f>
        <v>0.51383367467195995</v>
      </c>
      <c r="AS13" s="170">
        <f>'Scenario 2&amp;3'!K289</f>
        <v>0.51491282342864098</v>
      </c>
      <c r="AT13" s="169">
        <f>'Scenario 2&amp;3'!K303</f>
        <v>0.51579576332047095</v>
      </c>
      <c r="AU13" s="169">
        <f>'Scenario 2&amp;3'!K317</f>
        <v>0.51653154656366296</v>
      </c>
      <c r="AV13" s="169">
        <f>'Scenario 2&amp;3'!K331</f>
        <v>0.51815026969868405</v>
      </c>
      <c r="AW13" s="169">
        <f>'Scenario 2&amp;3'!K345</f>
        <v>0.51976899283370603</v>
      </c>
      <c r="AX13" s="169">
        <f>'Scenario 2&amp;3'!K359</f>
        <v>0.52074022671471898</v>
      </c>
      <c r="AY13" s="169">
        <f>'Scenario 2&amp;3'!K373</f>
        <v>0.52138771596872702</v>
      </c>
      <c r="AZ13" s="169">
        <f>'Scenario 2&amp;3'!K387</f>
        <v>0.52185020829301898</v>
      </c>
      <c r="BA13" s="169">
        <f>'Scenario 2&amp;3'!K401</f>
        <v>0.52219707753623801</v>
      </c>
      <c r="BB13" s="169">
        <f>'Scenario 2&amp;3'!K415</f>
        <v>0.52246686472540804</v>
      </c>
      <c r="BC13" s="169">
        <f>'Scenario 2&amp;3'!K429</f>
        <v>0.52268269447674498</v>
      </c>
      <c r="BD13" s="267"/>
    </row>
    <row r="14" spans="1:56" ht="18">
      <c r="A14" s="168" t="s">
        <v>23</v>
      </c>
      <c r="B14" s="169">
        <f>'Scenario 1'!K29</f>
        <v>-1.2973490024596901</v>
      </c>
      <c r="C14" s="170">
        <f>'Scenario 1'!K41</f>
        <v>-1.0556618383893599</v>
      </c>
      <c r="D14" s="175">
        <f>'Scenario 1'!K53</f>
        <v>-0.88302814976769595</v>
      </c>
      <c r="E14" s="175">
        <f>'Scenario 1'!K67</f>
        <v>-0.75355288330144798</v>
      </c>
      <c r="F14" s="169">
        <f>'Scenario 1'!K81</f>
        <v>-0.65284989827214501</v>
      </c>
      <c r="G14" s="169">
        <f>'Scenario 1'!K95</f>
        <v>-0.57228751024870195</v>
      </c>
      <c r="H14" s="169">
        <f>'Scenario 1'!K109</f>
        <v>-0.50637282913861204</v>
      </c>
      <c r="I14" s="169">
        <f>'Scenario 1'!K123</f>
        <v>-0.45144392821353702</v>
      </c>
      <c r="J14" s="169">
        <f>'Scenario 1'!K137</f>
        <v>-0.33060034617837297</v>
      </c>
      <c r="K14" s="169">
        <f>'Scenario 1'!K151</f>
        <v>-0.20975676414320901</v>
      </c>
      <c r="L14" s="169">
        <f>'Scenario 1'!K165</f>
        <v>-0.13725061492210999</v>
      </c>
      <c r="M14" s="169">
        <f>'Scenario 1'!K179</f>
        <v>-8.8913182108044095E-2</v>
      </c>
      <c r="N14" s="169">
        <f>'Scenario 1'!K193</f>
        <v>-5.4386444383711402E-2</v>
      </c>
      <c r="O14" s="169">
        <f>'Scenario 1'!K207</f>
        <v>-2.8491391090462E-2</v>
      </c>
      <c r="P14" s="169">
        <f>'Scenario 1'!K221</f>
        <v>-8.3507940846012894E-3</v>
      </c>
      <c r="Q14" s="169">
        <f>'Scenario 1'!K235</f>
        <v>7.7616835200875799E-3</v>
      </c>
      <c r="S14" s="168" t="s">
        <v>23</v>
      </c>
      <c r="T14" s="185">
        <f>'Scenario 2&amp;3'!K7</f>
        <v>-1.6598797485651799</v>
      </c>
      <c r="U14" s="170">
        <f>'Scenario 2&amp;3'!K19</f>
        <v>-1.2973490024596901</v>
      </c>
      <c r="V14" s="175">
        <f>'Scenario 2&amp;3'!K31</f>
        <v>-1.0556618383893599</v>
      </c>
      <c r="W14" s="169">
        <f>'Scenario 2&amp;3'!K43</f>
        <v>-0.88302814976769595</v>
      </c>
      <c r="X14" s="169">
        <f>'Scenario 2&amp;3'!K55</f>
        <v>-0.75355288330144798</v>
      </c>
      <c r="Y14" s="169">
        <f>'Scenario 2&amp;3'!K67</f>
        <v>-0.65284989827214501</v>
      </c>
      <c r="Z14" s="169">
        <f>'Scenario 2&amp;3'!K81</f>
        <v>-0.57228751024870195</v>
      </c>
      <c r="AA14" s="169">
        <f>'Scenario 2&amp;3'!K93</f>
        <v>-0.50637282913861204</v>
      </c>
      <c r="AB14" s="169">
        <f>'Scenario 2&amp;3'!K107</f>
        <v>-0.45144392821353702</v>
      </c>
      <c r="AC14" s="169">
        <f>'Scenario 2&amp;3'!K121</f>
        <v>-0.33060034617837297</v>
      </c>
      <c r="AD14" s="169">
        <f>'Scenario 2&amp;3'!K133</f>
        <v>-0.20975676414320901</v>
      </c>
      <c r="AE14" s="169">
        <f>'Scenario 2&amp;3'!K145</f>
        <v>-0.13725061492210999</v>
      </c>
      <c r="AF14" s="169">
        <f>'Scenario 2&amp;3'!K157</f>
        <v>-8.8913182108044095E-2</v>
      </c>
      <c r="AG14" s="169">
        <f>'Scenario 2&amp;3'!K169</f>
        <v>-5.4386444383711402E-2</v>
      </c>
      <c r="AH14" s="169">
        <f>'Scenario 2&amp;3'!K181</f>
        <v>-2.8491391090462E-2</v>
      </c>
      <c r="AI14" s="169">
        <f>'Scenario 2&amp;3'!K193</f>
        <v>-8.3507940846012894E-3</v>
      </c>
      <c r="AJ14" s="169">
        <f>'Scenario 2&amp;3'!K205</f>
        <v>7.7616835200875799E-3</v>
      </c>
      <c r="AM14" s="168" t="s">
        <v>23</v>
      </c>
      <c r="AN14" s="169">
        <f>'Scenario 2&amp;3'!K220</f>
        <v>-2.03072397646776</v>
      </c>
      <c r="AO14" s="169">
        <f>'Scenario 2&amp;3'!K234</f>
        <v>-1.71219834313843</v>
      </c>
      <c r="AP14" s="169">
        <f>'Scenario 2&amp;3'!K248</f>
        <v>-1.4846800336174799</v>
      </c>
      <c r="AQ14" s="175">
        <f>'Scenario 2&amp;3'!K262</f>
        <v>-1.31404130147677</v>
      </c>
      <c r="AR14" s="169">
        <f>'Scenario 2&amp;3'!K276</f>
        <v>-1.1813222875895499</v>
      </c>
      <c r="AS14" s="170">
        <f>'Scenario 2&amp;3'!K290</f>
        <v>-1.0751470764797699</v>
      </c>
      <c r="AT14" s="169">
        <f>'Scenario 2&amp;3'!K304</f>
        <v>-0.98827644920813396</v>
      </c>
      <c r="AU14" s="169">
        <f>'Scenario 2&amp;3'!K318</f>
        <v>-0.91588425981510402</v>
      </c>
      <c r="AV14" s="169">
        <f>'Scenario 2&amp;3'!K332</f>
        <v>-0.756621443150438</v>
      </c>
      <c r="AW14" s="169">
        <f>'Scenario 2&amp;3'!K346</f>
        <v>-0.59735862648577298</v>
      </c>
      <c r="AX14" s="169">
        <f>'Scenario 2&amp;3'!K360</f>
        <v>-0.50180093648697299</v>
      </c>
      <c r="AY14" s="169">
        <f>'Scenario 2&amp;3'!K374</f>
        <v>-0.43809580982110702</v>
      </c>
      <c r="AZ14" s="169">
        <f>'Scenario 2&amp;3'!K388</f>
        <v>-0.39259214791691699</v>
      </c>
      <c r="BA14" s="169">
        <f>'Scenario 2&amp;3'!K402</f>
        <v>-0.35846440148877401</v>
      </c>
      <c r="BB14" s="169">
        <f>'Scenario 2&amp;3'!K416</f>
        <v>-0.33192059871133001</v>
      </c>
      <c r="BC14" s="169">
        <f>'Scenario 2&amp;3'!K430</f>
        <v>-0.31068555648937402</v>
      </c>
      <c r="BD14" s="267"/>
    </row>
    <row r="15" spans="1:56" ht="18">
      <c r="A15" s="168" t="s">
        <v>24</v>
      </c>
      <c r="B15" s="169">
        <f>'Scenario 1'!K30</f>
        <v>0.12073221731994099</v>
      </c>
      <c r="C15" s="170">
        <f>'Scenario 1'!K42</f>
        <v>0.138140078360943</v>
      </c>
      <c r="D15" s="175">
        <f>'Scenario 1'!K54</f>
        <v>0.15057426481880101</v>
      </c>
      <c r="E15" s="175">
        <f>'Scenario 1'!K68</f>
        <v>0.159899904662195</v>
      </c>
      <c r="F15" s="169">
        <f>'Scenario 1'!K82</f>
        <v>0.16715318009594601</v>
      </c>
      <c r="G15" s="169">
        <f>'Scenario 1'!K96</f>
        <v>0.17295580044294601</v>
      </c>
      <c r="H15" s="169">
        <f>'Scenario 1'!K110</f>
        <v>0.17770339890867401</v>
      </c>
      <c r="I15" s="169">
        <f>'Scenario 1'!K124</f>
        <v>0.18165973096344701</v>
      </c>
      <c r="J15" s="169">
        <f>'Scenario 1'!K138</f>
        <v>0.19036366148394801</v>
      </c>
      <c r="K15" s="169">
        <f>'Scenario 1'!K152</f>
        <v>0.19340097602482501</v>
      </c>
      <c r="L15" s="169">
        <f>'Scenario 1'!K166</f>
        <v>0.19975665753305</v>
      </c>
      <c r="M15" s="169">
        <f>'Scenario 1'!K180</f>
        <v>0.20399377853853401</v>
      </c>
      <c r="N15" s="169">
        <f>'Scenario 1'!K194</f>
        <v>0.20378222726838</v>
      </c>
      <c r="O15" s="169">
        <f>'Scenario 1'!K208</f>
        <v>0.20645687180557601</v>
      </c>
      <c r="P15" s="169">
        <f>'Scenario 1'!K222</f>
        <v>0.208537150890062</v>
      </c>
      <c r="Q15" s="169">
        <f>'Scenario 1'!K236</f>
        <v>0.20793472776580199</v>
      </c>
      <c r="S15" s="168" t="s">
        <v>24</v>
      </c>
      <c r="T15" s="185">
        <f>'Scenario 2&amp;3'!K8</f>
        <v>0.138140078360943</v>
      </c>
      <c r="U15" s="170">
        <f>'Scenario 2&amp;3'!K20</f>
        <v>0.155547939401945</v>
      </c>
      <c r="V15" s="175">
        <f>'Scenario 2&amp;3'!K32</f>
        <v>0.16715318009594601</v>
      </c>
      <c r="W15" s="169">
        <f>'Scenario 2&amp;3'!K44</f>
        <v>0.17544263773451799</v>
      </c>
      <c r="X15" s="169">
        <f>'Scenario 2&amp;3'!K56</f>
        <v>0.18165973096344701</v>
      </c>
      <c r="Y15" s="169">
        <f>'Scenario 2&amp;3'!K68</f>
        <v>0.18649524791928099</v>
      </c>
      <c r="Z15" s="169">
        <f>'Scenario 2&amp;3'!K82</f>
        <v>0.19036366148394801</v>
      </c>
      <c r="AA15" s="169">
        <f>'Scenario 2&amp;3'!K94</f>
        <v>0.186660101697919</v>
      </c>
      <c r="AB15" s="169">
        <f>'Scenario 2&amp;3'!K108</f>
        <v>0.18987004185358899</v>
      </c>
      <c r="AC15" s="169">
        <f>'Scenario 2&amp;3'!K122</f>
        <v>0.19693191019606099</v>
      </c>
      <c r="AD15" s="169">
        <f>'Scenario 2&amp;3'!K134</f>
        <v>0.20399377853853401</v>
      </c>
      <c r="AE15" s="169">
        <f>'Scenario 2&amp;3'!K146</f>
        <v>0.205208704354885</v>
      </c>
      <c r="AF15" s="169">
        <f>'Scenario 2&amp;3'!K158</f>
        <v>0.208537150890062</v>
      </c>
      <c r="AG15" s="169">
        <f>'Scenario 2&amp;3'!K170</f>
        <v>0.20875590185152301</v>
      </c>
      <c r="AH15" s="169">
        <f>'Scenario 2&amp;3'!K182</f>
        <v>0.21080883706582701</v>
      </c>
      <c r="AI15" s="169">
        <f>'Scenario 2&amp;3'!K194</f>
        <v>0.21072656712743401</v>
      </c>
      <c r="AJ15" s="169">
        <f>'Scenario 2&amp;3'!K206</f>
        <v>0.212171848771285</v>
      </c>
      <c r="AM15" s="168" t="s">
        <v>24</v>
      </c>
      <c r="AN15" s="169">
        <f>'Scenario 2&amp;3'!K221</f>
        <v>5.4104537483580899E-2</v>
      </c>
      <c r="AO15" s="169">
        <f>'Scenario 2&amp;3'!K235</f>
        <v>7.2831502232147793E-2</v>
      </c>
      <c r="AP15" s="169">
        <f>'Scenario 2&amp;3'!K249</f>
        <v>8.6207905623981396E-2</v>
      </c>
      <c r="AQ15" s="175">
        <f>'Scenario 2&amp;3'!K263</f>
        <v>9.6240208167856403E-2</v>
      </c>
      <c r="AR15" s="169">
        <f>'Scenario 2&amp;3'!K277</f>
        <v>0.104043110146426</v>
      </c>
      <c r="AS15" s="170">
        <f>'Scenario 2&amp;3'!K291</f>
        <v>0.110285431729281</v>
      </c>
      <c r="AT15" s="169">
        <f>'Scenario 2&amp;3'!K305</f>
        <v>0.115392785751618</v>
      </c>
      <c r="AU15" s="169">
        <f>'Scenario 2&amp;3'!K319</f>
        <v>0.119648914103565</v>
      </c>
      <c r="AV15" s="169">
        <f>'Scenario 2&amp;3'!K333</f>
        <v>0.12901239647784801</v>
      </c>
      <c r="AW15" s="169">
        <f>'Scenario 2&amp;3'!K347</f>
        <v>0.13227986754757501</v>
      </c>
      <c r="AX15" s="169">
        <f>'Scenario 2&amp;3'!K361</f>
        <v>0.13911715923305701</v>
      </c>
      <c r="AY15" s="169">
        <f>'Scenario 2&amp;3'!K375</f>
        <v>0.143675353690044</v>
      </c>
      <c r="AZ15" s="169">
        <f>'Scenario 2&amp;3'!K389</f>
        <v>0.14344777184243199</v>
      </c>
      <c r="BA15" s="169">
        <f>'Scenario 2&amp;3'!K403</f>
        <v>0.14632509110900099</v>
      </c>
      <c r="BB15" s="169">
        <f>'Scenario 2&amp;3'!K417</f>
        <v>0.14856300609411</v>
      </c>
      <c r="BC15" s="169">
        <f>'Scenario 2&amp;3'!K431</f>
        <v>0.14791493356037499</v>
      </c>
      <c r="BD15" s="267"/>
    </row>
    <row r="16" spans="1:56" ht="18">
      <c r="A16" s="171" t="s">
        <v>25</v>
      </c>
      <c r="B16" s="169">
        <f>'Scenario 1'!K31</f>
        <v>0.66286945812807896</v>
      </c>
      <c r="C16" s="170">
        <f>'Scenario 1'!K43</f>
        <v>0.66286945812807896</v>
      </c>
      <c r="D16" s="175">
        <f>'Scenario 1'!K55</f>
        <v>0.66286945812807896</v>
      </c>
      <c r="E16" s="175">
        <f>'Scenario 1'!K69</f>
        <v>0.66286945812807896</v>
      </c>
      <c r="F16" s="169">
        <f>'Scenario 1'!K83</f>
        <v>0.66286945812807896</v>
      </c>
      <c r="G16" s="169">
        <f>'Scenario 1'!K97</f>
        <v>0.66286945812807896</v>
      </c>
      <c r="H16" s="169">
        <f>'Scenario 1'!K111</f>
        <v>0.66286945812807896</v>
      </c>
      <c r="I16" s="169">
        <f>'Scenario 1'!K125</f>
        <v>0.66286945812807896</v>
      </c>
      <c r="J16" s="169">
        <f>'Scenario 1'!K139</f>
        <v>0.66286945812807896</v>
      </c>
      <c r="K16" s="169">
        <f>'Scenario 1'!K153</f>
        <v>0.66286945812807896</v>
      </c>
      <c r="L16" s="169">
        <f>'Scenario 1'!K167</f>
        <v>0.66286945812807896</v>
      </c>
      <c r="M16" s="169">
        <f>'Scenario 1'!K181</f>
        <v>0.66286945812807896</v>
      </c>
      <c r="N16" s="169">
        <f>'Scenario 1'!K195</f>
        <v>0.66286945812807896</v>
      </c>
      <c r="O16" s="169">
        <f>'Scenario 1'!K209</f>
        <v>0.66286945812807896</v>
      </c>
      <c r="P16" s="169">
        <f>'Scenario 1'!K223</f>
        <v>0.66286945812807896</v>
      </c>
      <c r="Q16" s="169">
        <f>'Scenario 1'!K237</f>
        <v>0.66286945812807896</v>
      </c>
      <c r="S16" s="171" t="s">
        <v>25</v>
      </c>
      <c r="T16" s="185">
        <f>'Scenario 2&amp;3'!K9</f>
        <v>0.66286945812807896</v>
      </c>
      <c r="U16" s="170">
        <f>'Scenario 2&amp;3'!K21</f>
        <v>0.66286945812807896</v>
      </c>
      <c r="V16" s="175">
        <f>'Scenario 2&amp;3'!K33</f>
        <v>0.66286945812807896</v>
      </c>
      <c r="W16" s="169">
        <f>'Scenario 2&amp;3'!K45</f>
        <v>0.66286945812807896</v>
      </c>
      <c r="X16" s="169">
        <f>'Scenario 2&amp;3'!K57</f>
        <v>0.66286945812807896</v>
      </c>
      <c r="Y16" s="169">
        <f>'Scenario 2&amp;3'!K69</f>
        <v>0.66286945812807896</v>
      </c>
      <c r="Z16" s="169">
        <f>'Scenario 2&amp;3'!K83</f>
        <v>0.66286945812807896</v>
      </c>
      <c r="AA16" s="169">
        <f>'Scenario 2&amp;3'!K95</f>
        <v>0.66286945812807896</v>
      </c>
      <c r="AB16" s="169">
        <f>'Scenario 2&amp;3'!K109</f>
        <v>0.66286945812807896</v>
      </c>
      <c r="AC16" s="169">
        <f>'Scenario 2&amp;3'!K123</f>
        <v>0.66286945812807896</v>
      </c>
      <c r="AD16" s="169">
        <f>'Scenario 2&amp;3'!K135</f>
        <v>0.66286945812807896</v>
      </c>
      <c r="AE16" s="169">
        <f>'Scenario 2&amp;3'!K147</f>
        <v>0.66286945812807896</v>
      </c>
      <c r="AF16" s="169">
        <f>'Scenario 2&amp;3'!K159</f>
        <v>0.66286945812807896</v>
      </c>
      <c r="AG16" s="169">
        <f>'Scenario 2&amp;3'!K171</f>
        <v>0.66286945812807896</v>
      </c>
      <c r="AH16" s="169">
        <f>'Scenario 2&amp;3'!K183</f>
        <v>0.66286945812807896</v>
      </c>
      <c r="AI16" s="169">
        <f>'Scenario 2&amp;3'!K195</f>
        <v>0.66286945812807896</v>
      </c>
      <c r="AJ16" s="169">
        <f>'Scenario 2&amp;3'!K207</f>
        <v>0.66286945812807896</v>
      </c>
      <c r="AM16" s="171" t="s">
        <v>25</v>
      </c>
      <c r="AN16" s="169">
        <f>'Scenario 2&amp;3'!K222</f>
        <v>0.66286945812807896</v>
      </c>
      <c r="AO16" s="169">
        <f>'Scenario 2&amp;3'!K236</f>
        <v>0.66286945812807896</v>
      </c>
      <c r="AP16" s="169">
        <f>'Scenario 2&amp;3'!K250</f>
        <v>0.66286945812807896</v>
      </c>
      <c r="AQ16" s="175">
        <f>'Scenario 2&amp;3'!K264</f>
        <v>0.66286945812807896</v>
      </c>
      <c r="AR16" s="169">
        <f>'Scenario 2&amp;3'!K278</f>
        <v>0.66286945812807896</v>
      </c>
      <c r="AS16" s="170">
        <f>'Scenario 2&amp;3'!K292</f>
        <v>0.66286945812807896</v>
      </c>
      <c r="AT16" s="169">
        <f>'Scenario 2&amp;3'!K306</f>
        <v>0.66286945812807896</v>
      </c>
      <c r="AU16" s="169">
        <f>'Scenario 2&amp;3'!K320</f>
        <v>0.66286945812807896</v>
      </c>
      <c r="AV16" s="169">
        <f>'Scenario 2&amp;3'!K334</f>
        <v>0.66286945812807896</v>
      </c>
      <c r="AW16" s="169">
        <f>'Scenario 2&amp;3'!K348</f>
        <v>0.66286945812807896</v>
      </c>
      <c r="AX16" s="169">
        <f>'Scenario 2&amp;3'!K362</f>
        <v>0.66286945812807896</v>
      </c>
      <c r="AY16" s="169">
        <f>'Scenario 2&amp;3'!K376</f>
        <v>0.66286945812807896</v>
      </c>
      <c r="AZ16" s="169">
        <f>'Scenario 2&amp;3'!K390</f>
        <v>0.66286945812807896</v>
      </c>
      <c r="BA16" s="169">
        <f>'Scenario 2&amp;3'!K404</f>
        <v>0.66286945812807896</v>
      </c>
      <c r="BB16" s="169">
        <f>'Scenario 2&amp;3'!K418</f>
        <v>0.66286945812807896</v>
      </c>
      <c r="BC16" s="169">
        <f>'Scenario 2&amp;3'!K432</f>
        <v>0.66286945812807896</v>
      </c>
      <c r="BD16" s="267"/>
    </row>
    <row r="17" spans="1:56" ht="18">
      <c r="A17" s="171" t="s">
        <v>26</v>
      </c>
      <c r="B17" s="169">
        <f>'Scenario 1'!K32</f>
        <v>0.751486034164358</v>
      </c>
      <c r="C17" s="170">
        <f>'Scenario 1'!K44</f>
        <v>0.751486034164358</v>
      </c>
      <c r="D17" s="175">
        <f>'Scenario 1'!K56</f>
        <v>0.751486034164358</v>
      </c>
      <c r="E17" s="175">
        <f>'Scenario 1'!K70</f>
        <v>0.751486034164358</v>
      </c>
      <c r="F17" s="169">
        <f>'Scenario 1'!K84</f>
        <v>0.751486034164358</v>
      </c>
      <c r="G17" s="169">
        <f>'Scenario 1'!K98</f>
        <v>0.751486034164358</v>
      </c>
      <c r="H17" s="169">
        <f>'Scenario 1'!K112</f>
        <v>0.751486034164358</v>
      </c>
      <c r="I17" s="169">
        <f>'Scenario 1'!K126</f>
        <v>0.751486034164358</v>
      </c>
      <c r="J17" s="169">
        <f>'Scenario 1'!K140</f>
        <v>0.751486034164358</v>
      </c>
      <c r="K17" s="169">
        <f>'Scenario 1'!K154</f>
        <v>0.751486034164358</v>
      </c>
      <c r="L17" s="169">
        <f>'Scenario 1'!K168</f>
        <v>0.751486034164358</v>
      </c>
      <c r="M17" s="169">
        <f>'Scenario 1'!K182</f>
        <v>0.751486034164358</v>
      </c>
      <c r="N17" s="169">
        <f>'Scenario 1'!K196</f>
        <v>0.751486034164358</v>
      </c>
      <c r="O17" s="169">
        <f>'Scenario 1'!K210</f>
        <v>0.751486034164358</v>
      </c>
      <c r="P17" s="169">
        <f>'Scenario 1'!K224</f>
        <v>0.751486034164358</v>
      </c>
      <c r="Q17" s="169">
        <f>'Scenario 1'!K238</f>
        <v>0.751486034164358</v>
      </c>
      <c r="S17" s="171" t="s">
        <v>26</v>
      </c>
      <c r="T17" s="185">
        <f>'Scenario 2&amp;3'!K10</f>
        <v>0.751486034164358</v>
      </c>
      <c r="U17" s="170">
        <f>'Scenario 2&amp;3'!K22</f>
        <v>0.751486034164358</v>
      </c>
      <c r="V17" s="175">
        <f>'Scenario 2&amp;3'!K34</f>
        <v>0.751486034164358</v>
      </c>
      <c r="W17" s="169">
        <f>'Scenario 2&amp;3'!K46</f>
        <v>0.751486034164358</v>
      </c>
      <c r="X17" s="169">
        <f>'Scenario 2&amp;3'!K58</f>
        <v>0.751486034164358</v>
      </c>
      <c r="Y17" s="169">
        <f>'Scenario 2&amp;3'!K70</f>
        <v>0.751486034164358</v>
      </c>
      <c r="Z17" s="169">
        <f>'Scenario 2&amp;3'!K84</f>
        <v>0.751486034164358</v>
      </c>
      <c r="AA17" s="169">
        <f>'Scenario 2&amp;3'!K96</f>
        <v>0.751486034164358</v>
      </c>
      <c r="AB17" s="169">
        <f>'Scenario 2&amp;3'!K110</f>
        <v>0.751486034164358</v>
      </c>
      <c r="AC17" s="169">
        <f>'Scenario 2&amp;3'!K124</f>
        <v>0.751486034164358</v>
      </c>
      <c r="AD17" s="169">
        <f>'Scenario 2&amp;3'!K136</f>
        <v>0.751486034164358</v>
      </c>
      <c r="AE17" s="169">
        <f>'Scenario 2&amp;3'!K148</f>
        <v>0.751486034164358</v>
      </c>
      <c r="AF17" s="169">
        <f>'Scenario 2&amp;3'!K160</f>
        <v>0.751486034164358</v>
      </c>
      <c r="AG17" s="169">
        <f>'Scenario 2&amp;3'!K172</f>
        <v>0.751486034164358</v>
      </c>
      <c r="AH17" s="169">
        <f>'Scenario 2&amp;3'!K184</f>
        <v>0.751486034164358</v>
      </c>
      <c r="AI17" s="169">
        <f>'Scenario 2&amp;3'!K196</f>
        <v>0.751486034164358</v>
      </c>
      <c r="AJ17" s="169">
        <f>'Scenario 2&amp;3'!K208</f>
        <v>0.751486034164358</v>
      </c>
      <c r="AM17" s="171" t="s">
        <v>26</v>
      </c>
      <c r="AN17" s="169">
        <f>'Scenario 2&amp;3'!K223</f>
        <v>0.751486034164358</v>
      </c>
      <c r="AO17" s="169">
        <f>'Scenario 2&amp;3'!K237</f>
        <v>0.751486034164358</v>
      </c>
      <c r="AP17" s="169">
        <f>'Scenario 2&amp;3'!K251</f>
        <v>0.751486034164358</v>
      </c>
      <c r="AQ17" s="175">
        <f>'Scenario 2&amp;3'!K265</f>
        <v>0.751486034164358</v>
      </c>
      <c r="AR17" s="169">
        <f>'Scenario 2&amp;3'!K279</f>
        <v>0.751486034164358</v>
      </c>
      <c r="AS17" s="170">
        <f>'Scenario 2&amp;3'!K293</f>
        <v>0.751486034164358</v>
      </c>
      <c r="AT17" s="169">
        <f>'Scenario 2&amp;3'!K307</f>
        <v>0.751486034164358</v>
      </c>
      <c r="AU17" s="169">
        <f>'Scenario 2&amp;3'!K321</f>
        <v>0.751486034164358</v>
      </c>
      <c r="AV17" s="169">
        <f>'Scenario 2&amp;3'!K335</f>
        <v>0.751486034164358</v>
      </c>
      <c r="AW17" s="169">
        <f>'Scenario 2&amp;3'!K349</f>
        <v>0.751486034164358</v>
      </c>
      <c r="AX17" s="169">
        <f>'Scenario 2&amp;3'!K363</f>
        <v>0.751486034164358</v>
      </c>
      <c r="AY17" s="169">
        <f>'Scenario 2&amp;3'!K377</f>
        <v>0.751486034164358</v>
      </c>
      <c r="AZ17" s="169">
        <f>'Scenario 2&amp;3'!K391</f>
        <v>0.751486034164358</v>
      </c>
      <c r="BA17" s="169">
        <f>'Scenario 2&amp;3'!K405</f>
        <v>0.751486034164358</v>
      </c>
      <c r="BB17" s="169">
        <f>'Scenario 2&amp;3'!K419</f>
        <v>0.751486034164358</v>
      </c>
      <c r="BC17" s="169">
        <f>'Scenario 2&amp;3'!K433</f>
        <v>0.751486034164358</v>
      </c>
      <c r="BD17" s="267"/>
    </row>
    <row r="18" spans="1:56" ht="18">
      <c r="A18" s="171" t="s">
        <v>27</v>
      </c>
      <c r="B18" s="169">
        <f>'Scenario 1'!K33</f>
        <v>0.8</v>
      </c>
      <c r="C18" s="170">
        <f>'Scenario 1'!K45</f>
        <v>0.8</v>
      </c>
      <c r="D18" s="175">
        <f>'Scenario 1'!K57</f>
        <v>0.8</v>
      </c>
      <c r="E18" s="175">
        <f>'Scenario 1'!K71</f>
        <v>0.8</v>
      </c>
      <c r="F18" s="169">
        <f>'Scenario 1'!K85</f>
        <v>0.8</v>
      </c>
      <c r="G18" s="169">
        <f>'Scenario 1'!K99</f>
        <v>0.8</v>
      </c>
      <c r="H18" s="169">
        <f>'Scenario 1'!K113</f>
        <v>0.8</v>
      </c>
      <c r="I18" s="169">
        <f>'Scenario 1'!K127</f>
        <v>0.8</v>
      </c>
      <c r="J18" s="169">
        <f>'Scenario 1'!K141</f>
        <v>0.8</v>
      </c>
      <c r="K18" s="169">
        <f>'Scenario 1'!K155</f>
        <v>0.8</v>
      </c>
      <c r="L18" s="169">
        <f>'Scenario 1'!K169</f>
        <v>0.8</v>
      </c>
      <c r="M18" s="169">
        <f>'Scenario 1'!K183</f>
        <v>0.8</v>
      </c>
      <c r="N18" s="169">
        <f>'Scenario 1'!K197</f>
        <v>0.8</v>
      </c>
      <c r="O18" s="169">
        <f>'Scenario 1'!K211</f>
        <v>0.8</v>
      </c>
      <c r="P18" s="169">
        <f>'Scenario 1'!K225</f>
        <v>0.8</v>
      </c>
      <c r="Q18" s="169">
        <f>'Scenario 1'!K239</f>
        <v>0.8</v>
      </c>
      <c r="S18" s="171" t="s">
        <v>27</v>
      </c>
      <c r="T18" s="185">
        <f>'Scenario 2&amp;3'!K11</f>
        <v>0.8</v>
      </c>
      <c r="U18" s="170">
        <f>'Scenario 2&amp;3'!K23</f>
        <v>0.8</v>
      </c>
      <c r="V18" s="175">
        <f>'Scenario 2&amp;3'!K35</f>
        <v>0.8</v>
      </c>
      <c r="W18" s="169">
        <f>'Scenario 2&amp;3'!K47</f>
        <v>0.8</v>
      </c>
      <c r="X18" s="169">
        <f>'Scenario 2&amp;3'!K59</f>
        <v>0.8</v>
      </c>
      <c r="Y18" s="169">
        <f>'Scenario 2&amp;3'!K71</f>
        <v>0.8</v>
      </c>
      <c r="Z18" s="169">
        <f>'Scenario 2&amp;3'!K85</f>
        <v>0.8</v>
      </c>
      <c r="AA18" s="169">
        <f>'Scenario 2&amp;3'!K97</f>
        <v>0.8</v>
      </c>
      <c r="AB18" s="169">
        <f>'Scenario 2&amp;3'!K111</f>
        <v>0.8</v>
      </c>
      <c r="AC18" s="169">
        <f>'Scenario 2&amp;3'!K125</f>
        <v>0.8</v>
      </c>
      <c r="AD18" s="169">
        <f>'Scenario 2&amp;3'!K137</f>
        <v>0.8</v>
      </c>
      <c r="AE18" s="169">
        <f>'Scenario 2&amp;3'!K149</f>
        <v>0.8</v>
      </c>
      <c r="AF18" s="169">
        <f>'Scenario 2&amp;3'!K161</f>
        <v>0.8</v>
      </c>
      <c r="AG18" s="169">
        <f>'Scenario 2&amp;3'!K173</f>
        <v>0.8</v>
      </c>
      <c r="AH18" s="169">
        <f>'Scenario 2&amp;3'!K185</f>
        <v>0.8</v>
      </c>
      <c r="AI18" s="169">
        <f>'Scenario 2&amp;3'!K197</f>
        <v>0.8</v>
      </c>
      <c r="AJ18" s="169">
        <f>'Scenario 2&amp;3'!K209</f>
        <v>0.8</v>
      </c>
      <c r="AM18" s="171" t="s">
        <v>27</v>
      </c>
      <c r="AN18" s="169">
        <f>'Scenario 2&amp;3'!K224</f>
        <v>0.8</v>
      </c>
      <c r="AO18" s="169">
        <f>'Scenario 2&amp;3'!K238</f>
        <v>0.8</v>
      </c>
      <c r="AP18" s="169">
        <f>'Scenario 2&amp;3'!K252</f>
        <v>0.8</v>
      </c>
      <c r="AQ18" s="175">
        <f>'Scenario 2&amp;3'!K266</f>
        <v>0.8</v>
      </c>
      <c r="AR18" s="169">
        <f>'Scenario 2&amp;3'!K280</f>
        <v>0.8</v>
      </c>
      <c r="AS18" s="170">
        <f>'Scenario 2&amp;3'!K294</f>
        <v>0.8</v>
      </c>
      <c r="AT18" s="169">
        <f>'Scenario 2&amp;3'!K308</f>
        <v>0.8</v>
      </c>
      <c r="AU18" s="169">
        <f>'Scenario 2&amp;3'!K322</f>
        <v>0.8</v>
      </c>
      <c r="AV18" s="169">
        <f>'Scenario 2&amp;3'!K336</f>
        <v>0.8</v>
      </c>
      <c r="AW18" s="169">
        <f>'Scenario 2&amp;3'!K350</f>
        <v>0.8</v>
      </c>
      <c r="AX18" s="169">
        <f>'Scenario 2&amp;3'!K364</f>
        <v>0.8</v>
      </c>
      <c r="AY18" s="169">
        <f>'Scenario 2&amp;3'!K378</f>
        <v>0.8</v>
      </c>
      <c r="AZ18" s="169">
        <f>'Scenario 2&amp;3'!K392</f>
        <v>0.8</v>
      </c>
      <c r="BA18" s="169">
        <f>'Scenario 2&amp;3'!K406</f>
        <v>0.8</v>
      </c>
      <c r="BB18" s="169">
        <f>'Scenario 2&amp;3'!K420</f>
        <v>0.8</v>
      </c>
      <c r="BC18" s="169">
        <f>'Scenario 2&amp;3'!K434</f>
        <v>0.8</v>
      </c>
      <c r="BD18" s="267"/>
    </row>
    <row r="19" spans="1:56" ht="18">
      <c r="A19" s="164" t="s">
        <v>28</v>
      </c>
      <c r="B19" s="169">
        <f>'Scenario 1'!K34</f>
        <v>-4.8391175390344598E-2</v>
      </c>
      <c r="C19" s="170">
        <f>'Scenario 1'!K46</f>
        <v>4.8314931846511798E-4</v>
      </c>
      <c r="D19" s="175">
        <f>'Scenario 1'!K58</f>
        <v>3.5412419187725398E-2</v>
      </c>
      <c r="E19" s="175">
        <f>'Scenario 1'!K72</f>
        <v>6.1619790413339003E-2</v>
      </c>
      <c r="F19" s="169">
        <f>'Scenario 1'!K86</f>
        <v>8.2009478758778898E-2</v>
      </c>
      <c r="G19" s="169">
        <f>'Scenario 1'!K100</f>
        <v>9.8325122784605895E-2</v>
      </c>
      <c r="H19" s="169">
        <f>'Scenario 1'!K114</f>
        <v>0.11167686103171</v>
      </c>
      <c r="I19" s="169">
        <f>'Scenario 1'!K128</f>
        <v>0.12280508032088</v>
      </c>
      <c r="J19" s="169">
        <f>'Scenario 1'!K142</f>
        <v>0.147292830960666</v>
      </c>
      <c r="K19" s="169">
        <f>'Scenario 1'!K156</f>
        <v>0.167534983867134</v>
      </c>
      <c r="L19" s="169">
        <f>'Scenario 1'!K170</f>
        <v>0.18308641022812999</v>
      </c>
      <c r="M19" s="169">
        <f>'Scenario 1'!K184</f>
        <v>0.193455678573908</v>
      </c>
      <c r="N19" s="169">
        <f>'Scenario 1'!K198</f>
        <v>0.198432098763236</v>
      </c>
      <c r="O19" s="169">
        <f>'Scenario 1'!K212</f>
        <v>0.20429191631680499</v>
      </c>
      <c r="P19" s="169">
        <f>'Scenario 1'!K226</f>
        <v>0.20884982867229099</v>
      </c>
      <c r="Q19" s="169">
        <f>'Scenario 1'!K240</f>
        <v>0.21079448725394501</v>
      </c>
      <c r="S19" s="164" t="s">
        <v>28</v>
      </c>
      <c r="T19" s="185">
        <f>'Scenario 2&amp;3'!K12</f>
        <v>-7.4228686488084098E-3</v>
      </c>
      <c r="U19" s="170">
        <f>'Scenario 2&amp;3'!K24</f>
        <v>4.4019631431405602E-2</v>
      </c>
      <c r="V19" s="175">
        <f>'Scenario 2&amp;3'!K36</f>
        <v>7.8333764667202294E-2</v>
      </c>
      <c r="W19" s="169">
        <f>'Scenario 2&amp;3'!K48</f>
        <v>0.10285323791338</v>
      </c>
      <c r="X19" s="169">
        <f>'Scenario 2&amp;3'!K60</f>
        <v>0.121247974060141</v>
      </c>
      <c r="Y19" s="169">
        <f>'Scenario 2&amp;3'!K72</f>
        <v>0.13555803291284099</v>
      </c>
      <c r="Z19" s="169">
        <f>'Scenario 2&amp;3'!K86</f>
        <v>0.147007996910379</v>
      </c>
      <c r="AA19" s="169">
        <f>'Scenario 2&amp;3'!K98</f>
        <v>0.15095440227567899</v>
      </c>
      <c r="AB19" s="169">
        <f>'Scenario 2&amp;3'!K112</f>
        <v>0.15921478961278801</v>
      </c>
      <c r="AC19" s="169">
        <f>'Scenario 2&amp;3'!K126</f>
        <v>0.17739059315146599</v>
      </c>
      <c r="AD19" s="169">
        <f>'Scenario 2&amp;3'!K138</f>
        <v>0.19557045597338399</v>
      </c>
      <c r="AE19" s="169">
        <f>'Scenario 2&amp;3'!K150</f>
        <v>0.20409338228972901</v>
      </c>
      <c r="AF19" s="169">
        <f>'Scenario 2&amp;3'!K162</f>
        <v>0.211765173582213</v>
      </c>
      <c r="AG19" s="169">
        <f>'Scenario 2&amp;3'!K174</f>
        <v>0.215540356169862</v>
      </c>
      <c r="AH19" s="169">
        <f>'Scenario 2&amp;3'!K186</f>
        <v>0.21986388892828301</v>
      </c>
      <c r="AI19" s="169">
        <f>'Scenario 2&amp;3'!K198</f>
        <v>0.221900543726854</v>
      </c>
      <c r="AJ19" s="169">
        <f>'Scenario 2&amp;3'!K210</f>
        <v>0.22472355231652399</v>
      </c>
      <c r="AM19" s="164" t="s">
        <v>28</v>
      </c>
      <c r="AN19" s="169">
        <f>'Scenario 2&amp;3'!K225</f>
        <v>-0.150551199649303</v>
      </c>
      <c r="AO19" s="169">
        <f>'Scenario 2&amp;3'!K239</f>
        <v>-9.6965500041036198E-2</v>
      </c>
      <c r="AP19" s="169">
        <f>'Scenario 2&amp;3'!K253</f>
        <v>-5.8667099318421602E-2</v>
      </c>
      <c r="AQ19" s="175">
        <f>'Scenario 2&amp;3'!K267</f>
        <v>-2.9930764953894899E-2</v>
      </c>
      <c r="AR19" s="169">
        <f>'Scenario 2&amp;3'!K281</f>
        <v>-7.5728508979792499E-3</v>
      </c>
      <c r="AS19" s="170">
        <f>'Scenario 2&amp;3'!K295</f>
        <v>1.03181644653139E-2</v>
      </c>
      <c r="AT19" s="169">
        <f>'Scenario 2&amp;3'!K309</f>
        <v>2.4959365988324201E-2</v>
      </c>
      <c r="AU19" s="169">
        <f>'Scenario 2&amp;3'!K323</f>
        <v>3.71624977825862E-2</v>
      </c>
      <c r="AV19" s="169">
        <f>'Scenario 2&amp;3'!K337</f>
        <v>6.4016207791646601E-2</v>
      </c>
      <c r="AW19" s="169">
        <f>'Scenario 2&amp;3'!K351</f>
        <v>8.6212279780077006E-2</v>
      </c>
      <c r="AX19" s="169">
        <f>'Scenario 2&amp;3'!K365</f>
        <v>0.10326765253661099</v>
      </c>
      <c r="AY19" s="169">
        <f>'Scenario 2&amp;3'!K379</f>
        <v>0.114639887541583</v>
      </c>
      <c r="AZ19" s="169">
        <f>'Scenario 2&amp;3'!K393</f>
        <v>0.120096418303502</v>
      </c>
      <c r="BA19" s="169">
        <f>'Scenario 2&amp;3'!K407</f>
        <v>0.12652329529756401</v>
      </c>
      <c r="BB19" s="169">
        <f>'Scenario 2&amp;3'!K421</f>
        <v>0.13152231013680299</v>
      </c>
      <c r="BC19" s="169">
        <f>'Scenario 2&amp;3'!K435</f>
        <v>0.13365433664479701</v>
      </c>
      <c r="BD19" s="267"/>
    </row>
    <row r="20" spans="1:56" ht="18">
      <c r="A20" s="172"/>
      <c r="B20" s="172"/>
      <c r="C20" s="173"/>
      <c r="D20" s="172"/>
      <c r="E20" s="181"/>
      <c r="F20" s="172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S20" s="172"/>
      <c r="T20" s="172"/>
      <c r="U20" s="173"/>
      <c r="V20" s="181"/>
      <c r="W20" s="172"/>
      <c r="X20" s="172"/>
      <c r="Y20" s="172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M20" s="172"/>
      <c r="AN20" s="172"/>
      <c r="AO20" s="172"/>
      <c r="AP20" s="172"/>
      <c r="AQ20" s="172"/>
      <c r="AR20" s="172"/>
      <c r="AS20" s="172"/>
      <c r="AT20" s="172"/>
      <c r="AU20" s="176"/>
      <c r="AV20" s="176"/>
      <c r="AW20" s="176"/>
      <c r="AX20" s="176"/>
      <c r="AY20" s="176"/>
      <c r="AZ20" s="176"/>
      <c r="BA20" s="176"/>
      <c r="BB20" s="176"/>
      <c r="BC20" s="176"/>
      <c r="BD20" s="267"/>
    </row>
    <row r="21" spans="1:56" ht="18">
      <c r="A21" s="74" t="s">
        <v>3</v>
      </c>
      <c r="B21" s="164" t="s">
        <v>52</v>
      </c>
      <c r="C21" s="174"/>
      <c r="E21" s="182"/>
      <c r="K21" s="166"/>
      <c r="L21" s="166"/>
      <c r="M21" s="166"/>
      <c r="N21" s="166"/>
      <c r="O21" s="166"/>
      <c r="P21" s="166"/>
      <c r="S21" s="74" t="s">
        <v>4</v>
      </c>
      <c r="T21" s="164" t="s">
        <v>52</v>
      </c>
      <c r="U21" s="174"/>
      <c r="V21" s="182"/>
      <c r="AD21" s="166"/>
      <c r="AE21" s="166"/>
      <c r="AF21" s="166"/>
      <c r="AG21" s="166"/>
      <c r="AH21" s="166"/>
      <c r="AI21" s="166"/>
      <c r="AM21" s="194" t="s">
        <v>5</v>
      </c>
      <c r="AN21" s="164" t="s">
        <v>52</v>
      </c>
      <c r="AW21" s="166"/>
      <c r="AX21" s="166"/>
      <c r="AY21" s="166"/>
      <c r="AZ21" s="166"/>
      <c r="BA21" s="166"/>
      <c r="BB21" s="166"/>
      <c r="BD21" s="267"/>
    </row>
    <row r="22" spans="1:56" ht="18">
      <c r="A22" s="165" t="s">
        <v>11</v>
      </c>
      <c r="B22" s="166" t="s">
        <v>31</v>
      </c>
      <c r="C22" s="167" t="s">
        <v>33</v>
      </c>
      <c r="D22" s="166" t="s">
        <v>35</v>
      </c>
      <c r="E22" s="166" t="s">
        <v>36</v>
      </c>
      <c r="F22" s="166" t="s">
        <v>37</v>
      </c>
      <c r="G22" s="166" t="s">
        <v>38</v>
      </c>
      <c r="H22" s="166" t="s">
        <v>39</v>
      </c>
      <c r="I22" s="166" t="s">
        <v>40</v>
      </c>
      <c r="J22" s="166" t="s">
        <v>41</v>
      </c>
      <c r="K22" s="178" t="s">
        <v>42</v>
      </c>
      <c r="L22" s="166" t="s">
        <v>43</v>
      </c>
      <c r="M22" s="178" t="s">
        <v>44</v>
      </c>
      <c r="N22" s="166" t="s">
        <v>45</v>
      </c>
      <c r="O22" s="178" t="s">
        <v>46</v>
      </c>
      <c r="P22" s="166" t="s">
        <v>47</v>
      </c>
      <c r="Q22" s="178" t="s">
        <v>48</v>
      </c>
      <c r="S22" s="165" t="s">
        <v>11</v>
      </c>
      <c r="T22" s="184" t="s">
        <v>49</v>
      </c>
      <c r="U22" s="167" t="s">
        <v>31</v>
      </c>
      <c r="V22" s="184" t="s">
        <v>33</v>
      </c>
      <c r="W22" s="166" t="s">
        <v>35</v>
      </c>
      <c r="X22" s="166" t="s">
        <v>36</v>
      </c>
      <c r="Y22" s="166" t="s">
        <v>37</v>
      </c>
      <c r="Z22" s="166" t="s">
        <v>38</v>
      </c>
      <c r="AA22" s="166" t="s">
        <v>39</v>
      </c>
      <c r="AB22" s="166" t="s">
        <v>40</v>
      </c>
      <c r="AC22" s="166" t="s">
        <v>41</v>
      </c>
      <c r="AD22" s="178" t="s">
        <v>42</v>
      </c>
      <c r="AE22" s="166" t="s">
        <v>43</v>
      </c>
      <c r="AF22" s="178" t="s">
        <v>44</v>
      </c>
      <c r="AG22" s="166" t="s">
        <v>45</v>
      </c>
      <c r="AH22" s="178" t="s">
        <v>46</v>
      </c>
      <c r="AI22" s="166" t="s">
        <v>47</v>
      </c>
      <c r="AJ22" s="178" t="s">
        <v>48</v>
      </c>
      <c r="AM22" s="165" t="s">
        <v>11</v>
      </c>
      <c r="AN22" s="184" t="s">
        <v>31</v>
      </c>
      <c r="AO22" s="184" t="s">
        <v>33</v>
      </c>
      <c r="AP22" s="166" t="s">
        <v>35</v>
      </c>
      <c r="AQ22" s="166" t="s">
        <v>36</v>
      </c>
      <c r="AR22" s="166" t="s">
        <v>37</v>
      </c>
      <c r="AS22" s="167" t="s">
        <v>38</v>
      </c>
      <c r="AT22" s="166" t="s">
        <v>39</v>
      </c>
      <c r="AU22" s="166" t="s">
        <v>40</v>
      </c>
      <c r="AV22" s="166" t="s">
        <v>41</v>
      </c>
      <c r="AW22" s="178" t="s">
        <v>42</v>
      </c>
      <c r="AX22" s="166" t="s">
        <v>43</v>
      </c>
      <c r="AY22" s="178" t="s">
        <v>44</v>
      </c>
      <c r="AZ22" s="166" t="s">
        <v>45</v>
      </c>
      <c r="BA22" s="178" t="s">
        <v>46</v>
      </c>
      <c r="BB22" s="166" t="s">
        <v>47</v>
      </c>
      <c r="BC22" s="178" t="s">
        <v>48</v>
      </c>
      <c r="BD22" s="267"/>
    </row>
    <row r="23" spans="1:56" ht="18">
      <c r="A23" s="168" t="s">
        <v>22</v>
      </c>
      <c r="B23" s="169">
        <f>'Scenario 1'!Q28</f>
        <v>0.50520048461851197</v>
      </c>
      <c r="C23" s="170">
        <f>'Scenario 1'!Q40</f>
        <v>0.50843793088855505</v>
      </c>
      <c r="D23" s="169">
        <f>'Scenario 1'!Q52</f>
        <v>0.51075039251001397</v>
      </c>
      <c r="E23" s="175">
        <f>'Scenario 1'!Q66</f>
        <v>0.512484738726109</v>
      </c>
      <c r="F23" s="175">
        <f>'Scenario 1'!Q80</f>
        <v>0.51383367467195995</v>
      </c>
      <c r="G23" s="169">
        <f>'Scenario 1'!Q94</f>
        <v>0.51491282342864098</v>
      </c>
      <c r="H23" s="169">
        <f>'Scenario 1'!Q108</f>
        <v>0.51579576332047095</v>
      </c>
      <c r="I23" s="169">
        <f>'Scenario 1'!Q122</f>
        <v>0.51653154656366296</v>
      </c>
      <c r="J23" s="169">
        <f>'Scenario 1'!Q136</f>
        <v>0.51815026969868405</v>
      </c>
      <c r="K23" s="169">
        <f>'Scenario 1'!Q150</f>
        <v>0.51976899283370603</v>
      </c>
      <c r="L23" s="169">
        <f>'Scenario 1'!Q164</f>
        <v>0.52074022671471898</v>
      </c>
      <c r="M23" s="169">
        <f>'Scenario 1'!Q178</f>
        <v>0.52138771596872702</v>
      </c>
      <c r="N23" s="169">
        <f>'Scenario 1'!Q192</f>
        <v>0.52185020829301898</v>
      </c>
      <c r="O23" s="169">
        <f>'Scenario 1'!Q206</f>
        <v>0.52219707753623801</v>
      </c>
      <c r="P23" s="169">
        <f>'Scenario 1'!Q220</f>
        <v>0.52246686472540804</v>
      </c>
      <c r="Q23" s="169">
        <f>'Scenario 1'!Q234</f>
        <v>0.52268269447674498</v>
      </c>
      <c r="S23" s="168" t="s">
        <v>22</v>
      </c>
      <c r="T23" s="185">
        <f>'Scenario 2&amp;3'!Q6</f>
        <v>0.50843793088855505</v>
      </c>
      <c r="U23" s="186">
        <f>'Scenario 2&amp;3'!Q18</f>
        <v>0.51167537715859801</v>
      </c>
      <c r="V23" s="187">
        <f>'Scenario 2&amp;3'!Q30</f>
        <v>0.51383367467195995</v>
      </c>
      <c r="W23" s="187">
        <f>'Scenario 2&amp;3'!Q42</f>
        <v>0.51537531575293305</v>
      </c>
      <c r="X23" s="192">
        <f>'Scenario 2&amp;3'!Q54</f>
        <v>0.51653154656366296</v>
      </c>
      <c r="Y23" s="192">
        <f>'Scenario 2&amp;3'!Q66</f>
        <v>0.51743083719423</v>
      </c>
      <c r="Z23" s="192">
        <f>'Scenario 2&amp;3'!Q80</f>
        <v>0.51815026969868405</v>
      </c>
      <c r="AA23" s="192">
        <f>'Scenario 2&amp;3'!Q92</f>
        <v>0.518738896293237</v>
      </c>
      <c r="AB23" s="192">
        <f>'Scenario 2&amp;3'!Q106</f>
        <v>0.51922941845536497</v>
      </c>
      <c r="AC23" s="192">
        <f>'Scenario 2&amp;3'!Q120</f>
        <v>0.52030856721204599</v>
      </c>
      <c r="AD23" s="192">
        <f>'Scenario 2&amp;3'!Q132</f>
        <v>0.52138771596872702</v>
      </c>
      <c r="AE23" s="192">
        <f>'Scenario 2&amp;3'!Q144</f>
        <v>0.52203520522273605</v>
      </c>
      <c r="AF23" s="192">
        <f>'Scenario 2&amp;3'!Q156</f>
        <v>0.52246686472540804</v>
      </c>
      <c r="AG23" s="192">
        <f>'Scenario 2&amp;3'!Q168</f>
        <v>0.52277519294160302</v>
      </c>
      <c r="AH23" s="192">
        <f>'Scenario 2&amp;3'!Q180</f>
        <v>0.523006439103749</v>
      </c>
      <c r="AI23" s="192">
        <f>'Scenario 2&amp;3'!Q192</f>
        <v>0.52318629722986199</v>
      </c>
      <c r="AJ23" s="192">
        <f>'Scenario 2&amp;3'!Q204</f>
        <v>0.52333018373075302</v>
      </c>
      <c r="AM23" s="168" t="s">
        <v>22</v>
      </c>
      <c r="AN23" s="169">
        <f>'Scenario 2&amp;3'!Q219</f>
        <v>0.50520048461851197</v>
      </c>
      <c r="AO23" s="169">
        <f>'Scenario 2&amp;3'!Q233</f>
        <v>0.50843793088855505</v>
      </c>
      <c r="AP23" s="169">
        <f>'Scenario 2&amp;3'!Q247</f>
        <v>0.51075039251001397</v>
      </c>
      <c r="AQ23" s="169">
        <f>'Scenario 2&amp;3'!Q261</f>
        <v>0.512484738726109</v>
      </c>
      <c r="AR23" s="169">
        <f>'Scenario 2&amp;3'!Q275</f>
        <v>0.51383367467195995</v>
      </c>
      <c r="AS23" s="170">
        <f>'Scenario 2&amp;3'!Q289</f>
        <v>0.51491282342864098</v>
      </c>
      <c r="AT23" s="169">
        <f>'Scenario 2&amp;3'!Q303</f>
        <v>0.51579576332047095</v>
      </c>
      <c r="AU23" s="175">
        <f>'Scenario 2&amp;3'!Q317</f>
        <v>0.51653154656366296</v>
      </c>
      <c r="AV23" s="169">
        <f>'Scenario 2&amp;3'!Q331</f>
        <v>0.51815026969868405</v>
      </c>
      <c r="AW23" s="169">
        <f>'Scenario 2&amp;3'!Q345</f>
        <v>0.51976899283370603</v>
      </c>
      <c r="AX23" s="169">
        <f>'Scenario 2&amp;3'!Q359</f>
        <v>0.52074022671471898</v>
      </c>
      <c r="AY23" s="169">
        <f>'Scenario 2&amp;3'!Q373</f>
        <v>0.52138771596872702</v>
      </c>
      <c r="AZ23" s="169">
        <f>'Scenario 2&amp;3'!Q387</f>
        <v>0.52185020829301898</v>
      </c>
      <c r="BA23" s="169">
        <f>'Scenario 2&amp;3'!Q401</f>
        <v>0.52219707753623801</v>
      </c>
      <c r="BB23" s="169">
        <f>'Scenario 2&amp;3'!Q415</f>
        <v>0.52246686472540804</v>
      </c>
      <c r="BC23" s="169">
        <f>'Scenario 2&amp;3'!Q429</f>
        <v>0.52268269447674498</v>
      </c>
      <c r="BD23" s="267"/>
    </row>
    <row r="24" spans="1:56" ht="18">
      <c r="A24" s="168" t="s">
        <v>23</v>
      </c>
      <c r="B24" s="169">
        <f>'Scenario 1'!Q29</f>
        <v>-1.2973490024596901</v>
      </c>
      <c r="C24" s="170">
        <f>'Scenario 1'!Q41</f>
        <v>-1.0556618383893599</v>
      </c>
      <c r="D24" s="169">
        <f>'Scenario 1'!Q53</f>
        <v>-0.88302814976769595</v>
      </c>
      <c r="E24" s="175">
        <f>'Scenario 1'!Q67</f>
        <v>-0.75355288330144798</v>
      </c>
      <c r="F24" s="175">
        <f>'Scenario 1'!Q81</f>
        <v>-0.65284989827214501</v>
      </c>
      <c r="G24" s="169">
        <f>'Scenario 1'!Q95</f>
        <v>-0.57228751024870195</v>
      </c>
      <c r="H24" s="169">
        <f>'Scenario 1'!Q109</f>
        <v>-0.50637282913861204</v>
      </c>
      <c r="I24" s="169">
        <f>'Scenario 1'!Q123</f>
        <v>-0.45144392821353702</v>
      </c>
      <c r="J24" s="169">
        <f>'Scenario 1'!Q137</f>
        <v>-0.33060034617837297</v>
      </c>
      <c r="K24" s="169">
        <f>'Scenario 1'!Q151</f>
        <v>-0.20975676414320901</v>
      </c>
      <c r="L24" s="169">
        <f>'Scenario 1'!Q165</f>
        <v>-0.13725061492210999</v>
      </c>
      <c r="M24" s="169">
        <f>'Scenario 1'!Q179</f>
        <v>-8.8913182108044095E-2</v>
      </c>
      <c r="N24" s="169">
        <f>'Scenario 1'!Q193</f>
        <v>-5.4386444383711402E-2</v>
      </c>
      <c r="O24" s="169">
        <f>'Scenario 1'!Q207</f>
        <v>-2.84913910904619E-2</v>
      </c>
      <c r="P24" s="169">
        <f>'Scenario 1'!Q221</f>
        <v>-8.3507940846011403E-3</v>
      </c>
      <c r="Q24" s="169">
        <f>'Scenario 1'!Q235</f>
        <v>7.7616835200874602E-3</v>
      </c>
      <c r="S24" s="168" t="s">
        <v>23</v>
      </c>
      <c r="T24" s="185">
        <f>'Scenario 2&amp;3'!Q7</f>
        <v>-1.6598797485651799</v>
      </c>
      <c r="U24" s="186">
        <f>'Scenario 2&amp;3'!Q19</f>
        <v>-1.2973490024596901</v>
      </c>
      <c r="V24" s="187">
        <f>'Scenario 2&amp;3'!Q31</f>
        <v>-1.0556618383893599</v>
      </c>
      <c r="W24" s="187">
        <f>'Scenario 2&amp;3'!Q43</f>
        <v>-0.88302814976769595</v>
      </c>
      <c r="X24" s="192">
        <f>'Scenario 2&amp;3'!Q55</f>
        <v>-0.75355288330144798</v>
      </c>
      <c r="Y24" s="192">
        <f>'Scenario 2&amp;3'!Q67</f>
        <v>-0.65284989827214501</v>
      </c>
      <c r="Z24" s="192">
        <f>'Scenario 2&amp;3'!Q81</f>
        <v>-0.57228751024870195</v>
      </c>
      <c r="AA24" s="192">
        <f>'Scenario 2&amp;3'!Q93</f>
        <v>-0.50637282913861204</v>
      </c>
      <c r="AB24" s="192">
        <f>'Scenario 2&amp;3'!Q107</f>
        <v>-0.45144392821353702</v>
      </c>
      <c r="AC24" s="192">
        <f>'Scenario 2&amp;3'!Q121</f>
        <v>-0.33060034617837297</v>
      </c>
      <c r="AD24" s="192">
        <f>'Scenario 2&amp;3'!Q133</f>
        <v>-0.20975676414320901</v>
      </c>
      <c r="AE24" s="192">
        <f>'Scenario 2&amp;3'!Q145</f>
        <v>-0.13725061492210999</v>
      </c>
      <c r="AF24" s="192">
        <f>'Scenario 2&amp;3'!Q157</f>
        <v>-8.8913182108044095E-2</v>
      </c>
      <c r="AG24" s="192">
        <f>'Scenario 2&amp;3'!Q169</f>
        <v>-5.4386444383711402E-2</v>
      </c>
      <c r="AH24" s="192">
        <f>'Scenario 2&amp;3'!Q181</f>
        <v>-2.84913910904619E-2</v>
      </c>
      <c r="AI24" s="192">
        <f>'Scenario 2&amp;3'!Q193</f>
        <v>-8.3507940846011403E-3</v>
      </c>
      <c r="AJ24" s="192">
        <f>'Scenario 2&amp;3'!Q205</f>
        <v>7.7616835200874602E-3</v>
      </c>
      <c r="AM24" s="168" t="s">
        <v>23</v>
      </c>
      <c r="AN24" s="169">
        <f>'Scenario 2&amp;3'!Q220</f>
        <v>-2.03072397646776</v>
      </c>
      <c r="AO24" s="169">
        <f>'Scenario 2&amp;3'!Q234</f>
        <v>-1.71219834313843</v>
      </c>
      <c r="AP24" s="169">
        <f>'Scenario 2&amp;3'!Q248</f>
        <v>-1.4846800336174799</v>
      </c>
      <c r="AQ24" s="169">
        <f>'Scenario 2&amp;3'!Q262</f>
        <v>-1.31404130147677</v>
      </c>
      <c r="AR24" s="169">
        <f>'Scenario 2&amp;3'!Q276</f>
        <v>-1.1813222875895499</v>
      </c>
      <c r="AS24" s="170">
        <f>'Scenario 2&amp;3'!Q290</f>
        <v>-1.0751470764797699</v>
      </c>
      <c r="AT24" s="169">
        <f>'Scenario 2&amp;3'!Q304</f>
        <v>-0.98827644920813396</v>
      </c>
      <c r="AU24" s="175">
        <f>'Scenario 2&amp;3'!Q318</f>
        <v>-0.91588425981510402</v>
      </c>
      <c r="AV24" s="169">
        <f>'Scenario 2&amp;3'!Q332</f>
        <v>-0.756621443150438</v>
      </c>
      <c r="AW24" s="169">
        <f>'Scenario 2&amp;3'!Q346</f>
        <v>-0.59735862648577298</v>
      </c>
      <c r="AX24" s="169">
        <f>'Scenario 2&amp;3'!Q360</f>
        <v>-0.50180093648697299</v>
      </c>
      <c r="AY24" s="169">
        <f>'Scenario 2&amp;3'!Q374</f>
        <v>-0.43809580982110702</v>
      </c>
      <c r="AZ24" s="169">
        <f>'Scenario 2&amp;3'!Q388</f>
        <v>-0.39259214791691699</v>
      </c>
      <c r="BA24" s="169">
        <f>'Scenario 2&amp;3'!Q402</f>
        <v>-0.35846440148877401</v>
      </c>
      <c r="BB24" s="169">
        <f>'Scenario 2&amp;3'!Q416</f>
        <v>-0.33192059871133001</v>
      </c>
      <c r="BC24" s="169">
        <f>'Scenario 2&amp;3'!Q430</f>
        <v>-0.31068555648937501</v>
      </c>
      <c r="BD24" s="267"/>
    </row>
    <row r="25" spans="1:56" ht="18">
      <c r="A25" s="168" t="s">
        <v>24</v>
      </c>
      <c r="B25" s="169">
        <f>'Scenario 1'!Q30</f>
        <v>0.12073221731994099</v>
      </c>
      <c r="C25" s="170">
        <f>'Scenario 1'!Q42</f>
        <v>0.138140078360943</v>
      </c>
      <c r="D25" s="169">
        <f>'Scenario 1'!Q54</f>
        <v>0.15057426481880101</v>
      </c>
      <c r="E25" s="175">
        <f>'Scenario 1'!Q68</f>
        <v>0.159899904662195</v>
      </c>
      <c r="F25" s="175">
        <f>'Scenario 1'!Q82</f>
        <v>0.16715318009594601</v>
      </c>
      <c r="G25" s="169">
        <f>'Scenario 1'!Q96</f>
        <v>0.17295580044294701</v>
      </c>
      <c r="H25" s="169">
        <f>'Scenario 1'!Q110</f>
        <v>0.17770339890867401</v>
      </c>
      <c r="I25" s="169">
        <f>'Scenario 1'!Q124</f>
        <v>0.18165973096344701</v>
      </c>
      <c r="J25" s="169">
        <f>'Scenario 1'!Q138</f>
        <v>0.19036366148394801</v>
      </c>
      <c r="K25" s="169">
        <f>'Scenario 1'!Q152</f>
        <v>0.19340097602482501</v>
      </c>
      <c r="L25" s="169">
        <f>'Scenario 1'!Q166</f>
        <v>0.19975665753305</v>
      </c>
      <c r="M25" s="169">
        <f>'Scenario 1'!Q180</f>
        <v>0.20399377853853401</v>
      </c>
      <c r="N25" s="169">
        <f>'Scenario 1'!Q194</f>
        <v>0.20378222726838</v>
      </c>
      <c r="O25" s="169">
        <f>'Scenario 1'!Q208</f>
        <v>0.20645687180557601</v>
      </c>
      <c r="P25" s="169">
        <f>'Scenario 1'!Q222</f>
        <v>0.208537150890062</v>
      </c>
      <c r="Q25" s="169">
        <f>'Scenario 1'!Q236</f>
        <v>0.20793472776580199</v>
      </c>
      <c r="S25" s="168" t="s">
        <v>24</v>
      </c>
      <c r="T25" s="185">
        <f>'Scenario 2&amp;3'!Q8</f>
        <v>0.138140078360943</v>
      </c>
      <c r="U25" s="186">
        <f>'Scenario 2&amp;3'!Q20</f>
        <v>0.155547939401945</v>
      </c>
      <c r="V25" s="187">
        <f>'Scenario 2&amp;3'!Q32</f>
        <v>0.16715318009594601</v>
      </c>
      <c r="W25" s="187">
        <f>'Scenario 2&amp;3'!Q44</f>
        <v>0.17544263773451799</v>
      </c>
      <c r="X25" s="192">
        <f>'Scenario 2&amp;3'!Q56</f>
        <v>0.18165973096344701</v>
      </c>
      <c r="Y25" s="192">
        <f>'Scenario 2&amp;3'!Q68</f>
        <v>0.18649524791928099</v>
      </c>
      <c r="Z25" s="192">
        <f>'Scenario 2&amp;3'!Q82</f>
        <v>0.19036366148394801</v>
      </c>
      <c r="AA25" s="192">
        <f>'Scenario 2&amp;3'!Q94</f>
        <v>0.186660101697919</v>
      </c>
      <c r="AB25" s="192">
        <f>'Scenario 2&amp;3'!Q108</f>
        <v>0.18987004185358899</v>
      </c>
      <c r="AC25" s="192">
        <f>'Scenario 2&amp;3'!Q122</f>
        <v>0.19693191019606099</v>
      </c>
      <c r="AD25" s="192">
        <f>'Scenario 2&amp;3'!Q134</f>
        <v>0.20399377853853401</v>
      </c>
      <c r="AE25" s="192">
        <f>'Scenario 2&amp;3'!Q146</f>
        <v>0.205208704354885</v>
      </c>
      <c r="AF25" s="192">
        <f>'Scenario 2&amp;3'!Q158</f>
        <v>0.208537150890062</v>
      </c>
      <c r="AG25" s="192">
        <f>'Scenario 2&amp;3'!Q170</f>
        <v>0.20875590185152301</v>
      </c>
      <c r="AH25" s="192">
        <f>'Scenario 2&amp;3'!Q182</f>
        <v>0.21080883706582701</v>
      </c>
      <c r="AI25" s="192">
        <f>'Scenario 2&amp;3'!Q194</f>
        <v>0.21072656712743401</v>
      </c>
      <c r="AJ25" s="192">
        <f>'Scenario 2&amp;3'!Q206</f>
        <v>0.212171848771285</v>
      </c>
      <c r="AM25" s="168" t="s">
        <v>24</v>
      </c>
      <c r="AN25" s="169">
        <f>'Scenario 2&amp;3'!Q221</f>
        <v>5.41045374835811E-2</v>
      </c>
      <c r="AO25" s="169">
        <f>'Scenario 2&amp;3'!Q235</f>
        <v>7.2831502232148002E-2</v>
      </c>
      <c r="AP25" s="169">
        <f>'Scenario 2&amp;3'!Q249</f>
        <v>8.6207905623981396E-2</v>
      </c>
      <c r="AQ25" s="169">
        <f>'Scenario 2&amp;3'!Q263</f>
        <v>9.6240208167856195E-2</v>
      </c>
      <c r="AR25" s="169">
        <f>'Scenario 2&amp;3'!Q277</f>
        <v>0.104043110146426</v>
      </c>
      <c r="AS25" s="170">
        <f>'Scenario 2&amp;3'!Q291</f>
        <v>0.110285431729281</v>
      </c>
      <c r="AT25" s="169">
        <f>'Scenario 2&amp;3'!Q305</f>
        <v>0.115392785751618</v>
      </c>
      <c r="AU25" s="175">
        <f>'Scenario 2&amp;3'!Q319</f>
        <v>0.119648914103565</v>
      </c>
      <c r="AV25" s="169">
        <f>'Scenario 2&amp;3'!Q333</f>
        <v>0.12901239647784801</v>
      </c>
      <c r="AW25" s="169">
        <f>'Scenario 2&amp;3'!Q347</f>
        <v>0.13227986754757601</v>
      </c>
      <c r="AX25" s="169">
        <f>'Scenario 2&amp;3'!Q361</f>
        <v>0.13911715923305701</v>
      </c>
      <c r="AY25" s="169">
        <f>'Scenario 2&amp;3'!Q375</f>
        <v>0.143675353690045</v>
      </c>
      <c r="AZ25" s="169">
        <f>'Scenario 2&amp;3'!Q389</f>
        <v>0.14344777184243199</v>
      </c>
      <c r="BA25" s="169">
        <f>'Scenario 2&amp;3'!Q403</f>
        <v>0.14632509110900099</v>
      </c>
      <c r="BB25" s="169">
        <f>'Scenario 2&amp;3'!Q417</f>
        <v>0.14856300609411</v>
      </c>
      <c r="BC25" s="169">
        <f>'Scenario 2&amp;3'!Q431</f>
        <v>0.147914933560374</v>
      </c>
      <c r="BD25" s="267"/>
    </row>
    <row r="26" spans="1:56" ht="18">
      <c r="A26" s="171" t="s">
        <v>25</v>
      </c>
      <c r="B26" s="169">
        <f>'Scenario 1'!Q31</f>
        <v>0.66286945812807896</v>
      </c>
      <c r="C26" s="170">
        <f>'Scenario 1'!Q43</f>
        <v>0.66286945812807896</v>
      </c>
      <c r="D26" s="169">
        <f>'Scenario 1'!Q55</f>
        <v>0.66286945812807896</v>
      </c>
      <c r="E26" s="175">
        <f>'Scenario 1'!Q69</f>
        <v>0.66286945812807896</v>
      </c>
      <c r="F26" s="175">
        <f>'Scenario 1'!Q83</f>
        <v>0.66286945812807896</v>
      </c>
      <c r="G26" s="169">
        <f>'Scenario 1'!Q97</f>
        <v>0.66286945812807896</v>
      </c>
      <c r="H26" s="169">
        <f>'Scenario 1'!Q111</f>
        <v>0.66286945812807896</v>
      </c>
      <c r="I26" s="169">
        <f>'Scenario 1'!Q125</f>
        <v>0.66286945812807896</v>
      </c>
      <c r="J26" s="169">
        <f>'Scenario 1'!Q139</f>
        <v>0.66286945812807896</v>
      </c>
      <c r="K26" s="169">
        <f>'Scenario 1'!Q153</f>
        <v>0.66286945812807896</v>
      </c>
      <c r="L26" s="169">
        <f>'Scenario 1'!Q167</f>
        <v>0.66286945812807896</v>
      </c>
      <c r="M26" s="169">
        <f>'Scenario 1'!Q181</f>
        <v>0.66286945812807896</v>
      </c>
      <c r="N26" s="169">
        <f>'Scenario 1'!Q195</f>
        <v>0.66286945812807896</v>
      </c>
      <c r="O26" s="169">
        <f>'Scenario 1'!Q209</f>
        <v>0.66286945812807896</v>
      </c>
      <c r="P26" s="169">
        <f>'Scenario 1'!Q223</f>
        <v>0.66286945812807896</v>
      </c>
      <c r="Q26" s="169">
        <f>'Scenario 1'!Q237</f>
        <v>0.66286945812807896</v>
      </c>
      <c r="S26" s="171" t="s">
        <v>25</v>
      </c>
      <c r="T26" s="185">
        <f>'Scenario 2&amp;3'!Q9</f>
        <v>0.66286945812807896</v>
      </c>
      <c r="U26" s="186">
        <f>'Scenario 2&amp;3'!Q21</f>
        <v>0.66286945812807896</v>
      </c>
      <c r="V26" s="187">
        <f>'Scenario 2&amp;3'!Q33</f>
        <v>0.66286945812807896</v>
      </c>
      <c r="W26" s="187">
        <f>'Scenario 2&amp;3'!Q45</f>
        <v>0.66286945812807896</v>
      </c>
      <c r="X26" s="192">
        <f>'Scenario 2&amp;3'!Q57</f>
        <v>0.66286945812807896</v>
      </c>
      <c r="Y26" s="192">
        <f>'Scenario 2&amp;3'!Q69</f>
        <v>0.66286945812807896</v>
      </c>
      <c r="Z26" s="192">
        <f>'Scenario 2&amp;3'!Q83</f>
        <v>0.66286945812807896</v>
      </c>
      <c r="AA26" s="192">
        <f>'Scenario 2&amp;3'!Q95</f>
        <v>0.66286945812807896</v>
      </c>
      <c r="AB26" s="192">
        <f>'Scenario 2&amp;3'!Q109</f>
        <v>0.66286945812807896</v>
      </c>
      <c r="AC26" s="192">
        <f>'Scenario 2&amp;3'!Q123</f>
        <v>0.66286945812807896</v>
      </c>
      <c r="AD26" s="192">
        <f>'Scenario 2&amp;3'!Q135</f>
        <v>0.66286945812807896</v>
      </c>
      <c r="AE26" s="192">
        <f>'Scenario 2&amp;3'!Q147</f>
        <v>0.66286945812807896</v>
      </c>
      <c r="AF26" s="192">
        <f>'Scenario 2&amp;3'!Q159</f>
        <v>0.66286945812807896</v>
      </c>
      <c r="AG26" s="192">
        <f>'Scenario 2&amp;3'!Q171</f>
        <v>0.66286945812807896</v>
      </c>
      <c r="AH26" s="192">
        <f>'Scenario 2&amp;3'!Q183</f>
        <v>0.66286945812807896</v>
      </c>
      <c r="AI26" s="192">
        <f>'Scenario 2&amp;3'!Q195</f>
        <v>0.66286945812807896</v>
      </c>
      <c r="AJ26" s="192">
        <f>'Scenario 2&amp;3'!Q207</f>
        <v>0.66286945812807896</v>
      </c>
      <c r="AM26" s="171" t="s">
        <v>25</v>
      </c>
      <c r="AN26" s="169">
        <f>'Scenario 2&amp;3'!Q222</f>
        <v>0.66286945812807896</v>
      </c>
      <c r="AO26" s="169">
        <f>'Scenario 2&amp;3'!Q236</f>
        <v>0.66286945812807896</v>
      </c>
      <c r="AP26" s="169">
        <f>'Scenario 2&amp;3'!Q250</f>
        <v>0.66286945812807896</v>
      </c>
      <c r="AQ26" s="169">
        <f>'Scenario 2&amp;3'!Q264</f>
        <v>0.66286945812807896</v>
      </c>
      <c r="AR26" s="169">
        <f>'Scenario 2&amp;3'!Q278</f>
        <v>0.66286945812807896</v>
      </c>
      <c r="AS26" s="170">
        <f>'Scenario 2&amp;3'!Q292</f>
        <v>0.66286945812807896</v>
      </c>
      <c r="AT26" s="169">
        <f>'Scenario 2&amp;3'!Q306</f>
        <v>0.66286945812807896</v>
      </c>
      <c r="AU26" s="175">
        <f>'Scenario 2&amp;3'!Q320</f>
        <v>0.66286945812807896</v>
      </c>
      <c r="AV26" s="169">
        <f>'Scenario 2&amp;3'!Q334</f>
        <v>0.66286945812807896</v>
      </c>
      <c r="AW26" s="169">
        <f>'Scenario 2&amp;3'!Q348</f>
        <v>0.66286945812807896</v>
      </c>
      <c r="AX26" s="169">
        <f>'Scenario 2&amp;3'!Q362</f>
        <v>0.66286945812807896</v>
      </c>
      <c r="AY26" s="169">
        <f>'Scenario 2&amp;3'!Q376</f>
        <v>0.66286945812807896</v>
      </c>
      <c r="AZ26" s="169">
        <f>'Scenario 2&amp;3'!Q390</f>
        <v>0.66286945812807896</v>
      </c>
      <c r="BA26" s="169">
        <f>'Scenario 2&amp;3'!Q404</f>
        <v>0.66286945812807896</v>
      </c>
      <c r="BB26" s="169">
        <f>'Scenario 2&amp;3'!Q418</f>
        <v>0.66286945812807896</v>
      </c>
      <c r="BC26" s="169">
        <f>'Scenario 2&amp;3'!Q432</f>
        <v>0.66286945812807896</v>
      </c>
      <c r="BD26" s="267"/>
    </row>
    <row r="27" spans="1:56" ht="18">
      <c r="A27" s="171" t="s">
        <v>26</v>
      </c>
      <c r="B27" s="169">
        <f>'Scenario 1'!Q32</f>
        <v>0.751486034164358</v>
      </c>
      <c r="C27" s="170">
        <f>'Scenario 1'!Q44</f>
        <v>0.751486034164358</v>
      </c>
      <c r="D27" s="169">
        <f>'Scenario 1'!Q56</f>
        <v>0.751486034164358</v>
      </c>
      <c r="E27" s="175">
        <f>'Scenario 1'!Q70</f>
        <v>0.751486034164358</v>
      </c>
      <c r="F27" s="175">
        <f>'Scenario 1'!Q84</f>
        <v>0.751486034164358</v>
      </c>
      <c r="G27" s="169">
        <f>'Scenario 1'!Q98</f>
        <v>0.751486034164358</v>
      </c>
      <c r="H27" s="169">
        <f>'Scenario 1'!Q112</f>
        <v>0.751486034164358</v>
      </c>
      <c r="I27" s="169">
        <f>'Scenario 1'!Q126</f>
        <v>0.751486034164358</v>
      </c>
      <c r="J27" s="169">
        <f>'Scenario 1'!Q140</f>
        <v>0.751486034164358</v>
      </c>
      <c r="K27" s="169">
        <f>'Scenario 1'!Q154</f>
        <v>0.751486034164358</v>
      </c>
      <c r="L27" s="169">
        <f>'Scenario 1'!Q168</f>
        <v>0.751486034164358</v>
      </c>
      <c r="M27" s="169">
        <f>'Scenario 1'!Q182</f>
        <v>0.751486034164358</v>
      </c>
      <c r="N27" s="169">
        <f>'Scenario 1'!Q196</f>
        <v>0.751486034164358</v>
      </c>
      <c r="O27" s="169">
        <f>'Scenario 1'!Q210</f>
        <v>0.751486034164358</v>
      </c>
      <c r="P27" s="169">
        <f>'Scenario 1'!Q224</f>
        <v>0.751486034164358</v>
      </c>
      <c r="Q27" s="169">
        <f>'Scenario 1'!Q238</f>
        <v>0.751486034164358</v>
      </c>
      <c r="S27" s="171" t="s">
        <v>26</v>
      </c>
      <c r="T27" s="185">
        <f>'Scenario 2&amp;3'!Q10</f>
        <v>0.751486034164358</v>
      </c>
      <c r="U27" s="186">
        <f>'Scenario 2&amp;3'!Q22</f>
        <v>0.751486034164358</v>
      </c>
      <c r="V27" s="187">
        <f>'Scenario 2&amp;3'!Q34</f>
        <v>0.751486034164358</v>
      </c>
      <c r="W27" s="187">
        <f>'Scenario 2&amp;3'!Q46</f>
        <v>0.751486034164358</v>
      </c>
      <c r="X27" s="192">
        <f>'Scenario 2&amp;3'!Q58</f>
        <v>0.751486034164358</v>
      </c>
      <c r="Y27" s="192">
        <f>'Scenario 2&amp;3'!Q70</f>
        <v>0.751486034164358</v>
      </c>
      <c r="Z27" s="192">
        <f>'Scenario 2&amp;3'!Q84</f>
        <v>0.751486034164358</v>
      </c>
      <c r="AA27" s="192">
        <f>'Scenario 2&amp;3'!Q96</f>
        <v>0.751486034164358</v>
      </c>
      <c r="AB27" s="192">
        <f>'Scenario 2&amp;3'!Q110</f>
        <v>0.751486034164358</v>
      </c>
      <c r="AC27" s="192">
        <f>'Scenario 2&amp;3'!Q124</f>
        <v>0.751486034164358</v>
      </c>
      <c r="AD27" s="192">
        <f>'Scenario 2&amp;3'!Q136</f>
        <v>0.751486034164358</v>
      </c>
      <c r="AE27" s="192">
        <f>'Scenario 2&amp;3'!Q148</f>
        <v>0.751486034164358</v>
      </c>
      <c r="AF27" s="192">
        <f>'Scenario 2&amp;3'!Q160</f>
        <v>0.751486034164358</v>
      </c>
      <c r="AG27" s="192">
        <f>'Scenario 2&amp;3'!Q172</f>
        <v>0.751486034164358</v>
      </c>
      <c r="AH27" s="192">
        <f>'Scenario 2&amp;3'!Q184</f>
        <v>0.751486034164358</v>
      </c>
      <c r="AI27" s="192">
        <f>'Scenario 2&amp;3'!Q196</f>
        <v>0.751486034164358</v>
      </c>
      <c r="AJ27" s="192">
        <f>'Scenario 2&amp;3'!Q208</f>
        <v>0.751486034164358</v>
      </c>
      <c r="AM27" s="171" t="s">
        <v>26</v>
      </c>
      <c r="AN27" s="169">
        <f>'Scenario 2&amp;3'!Q223</f>
        <v>0.751486034164358</v>
      </c>
      <c r="AO27" s="169">
        <f>'Scenario 2&amp;3'!Q237</f>
        <v>0.751486034164358</v>
      </c>
      <c r="AP27" s="169">
        <f>'Scenario 2&amp;3'!Q251</f>
        <v>0.751486034164358</v>
      </c>
      <c r="AQ27" s="169">
        <f>'Scenario 2&amp;3'!Q265</f>
        <v>0.751486034164358</v>
      </c>
      <c r="AR27" s="169">
        <f>'Scenario 2&amp;3'!Q279</f>
        <v>0.751486034164358</v>
      </c>
      <c r="AS27" s="170">
        <f>'Scenario 2&amp;3'!Q293</f>
        <v>0.751486034164358</v>
      </c>
      <c r="AT27" s="169">
        <f>'Scenario 2&amp;3'!Q307</f>
        <v>0.751486034164358</v>
      </c>
      <c r="AU27" s="175">
        <f>'Scenario 2&amp;3'!Q321</f>
        <v>0.751486034164358</v>
      </c>
      <c r="AV27" s="169">
        <f>'Scenario 2&amp;3'!Q335</f>
        <v>0.751486034164358</v>
      </c>
      <c r="AW27" s="169">
        <f>'Scenario 2&amp;3'!Q349</f>
        <v>0.751486034164358</v>
      </c>
      <c r="AX27" s="169">
        <f>'Scenario 2&amp;3'!Q363</f>
        <v>0.751486034164358</v>
      </c>
      <c r="AY27" s="169">
        <f>'Scenario 2&amp;3'!Q377</f>
        <v>0.751486034164358</v>
      </c>
      <c r="AZ27" s="169">
        <f>'Scenario 2&amp;3'!Q391</f>
        <v>0.751486034164358</v>
      </c>
      <c r="BA27" s="169">
        <f>'Scenario 2&amp;3'!Q405</f>
        <v>0.751486034164358</v>
      </c>
      <c r="BB27" s="169">
        <f>'Scenario 2&amp;3'!Q419</f>
        <v>0.751486034164358</v>
      </c>
      <c r="BC27" s="169">
        <f>'Scenario 2&amp;3'!Q433</f>
        <v>0.751486034164358</v>
      </c>
      <c r="BD27" s="267"/>
    </row>
    <row r="28" spans="1:56" ht="18">
      <c r="A28" s="171" t="s">
        <v>27</v>
      </c>
      <c r="B28" s="169">
        <f>'Scenario 1'!Q33</f>
        <v>0.8</v>
      </c>
      <c r="C28" s="170">
        <f>'Scenario 1'!Q45</f>
        <v>0.8</v>
      </c>
      <c r="D28" s="169">
        <f>'Scenario 1'!Q57</f>
        <v>0.8</v>
      </c>
      <c r="E28" s="175">
        <f>'Scenario 1'!Q71</f>
        <v>0.8</v>
      </c>
      <c r="F28" s="175">
        <f>'Scenario 1'!Q85</f>
        <v>0.8</v>
      </c>
      <c r="G28" s="169">
        <f>'Scenario 1'!Q99</f>
        <v>0.8</v>
      </c>
      <c r="H28" s="169">
        <f>'Scenario 1'!Q113</f>
        <v>0.8</v>
      </c>
      <c r="I28" s="169">
        <f>'Scenario 1'!Q127</f>
        <v>0.8</v>
      </c>
      <c r="J28" s="169">
        <f>'Scenario 1'!Q141</f>
        <v>0.8</v>
      </c>
      <c r="K28" s="169">
        <f>'Scenario 1'!Q155</f>
        <v>0.8</v>
      </c>
      <c r="L28" s="169">
        <f>'Scenario 1'!Q169</f>
        <v>0.8</v>
      </c>
      <c r="M28" s="169">
        <f>'Scenario 1'!Q183</f>
        <v>0.8</v>
      </c>
      <c r="N28" s="169">
        <f>'Scenario 1'!Q197</f>
        <v>0.8</v>
      </c>
      <c r="O28" s="169">
        <f>'Scenario 1'!Q211</f>
        <v>0.8</v>
      </c>
      <c r="P28" s="169">
        <f>'Scenario 1'!Q225</f>
        <v>0.8</v>
      </c>
      <c r="Q28" s="169">
        <f>'Scenario 1'!Q239</f>
        <v>0.8</v>
      </c>
      <c r="S28" s="171" t="s">
        <v>27</v>
      </c>
      <c r="T28" s="185">
        <f>'Scenario 2&amp;3'!Q11</f>
        <v>0.8</v>
      </c>
      <c r="U28" s="186">
        <f>'Scenario 2&amp;3'!Q23</f>
        <v>0.8</v>
      </c>
      <c r="V28" s="187">
        <f>'Scenario 2&amp;3'!Q35</f>
        <v>0.8</v>
      </c>
      <c r="W28" s="187">
        <f>'Scenario 2&amp;3'!Q47</f>
        <v>0.8</v>
      </c>
      <c r="X28" s="192">
        <f>'Scenario 2&amp;3'!Q59</f>
        <v>0.8</v>
      </c>
      <c r="Y28" s="192">
        <f>'Scenario 2&amp;3'!Q71</f>
        <v>0.8</v>
      </c>
      <c r="Z28" s="192">
        <f>'Scenario 2&amp;3'!Q85</f>
        <v>0.8</v>
      </c>
      <c r="AA28" s="192">
        <f>'Scenario 2&amp;3'!Q97</f>
        <v>0.8</v>
      </c>
      <c r="AB28" s="192">
        <f>'Scenario 2&amp;3'!Q111</f>
        <v>0.8</v>
      </c>
      <c r="AC28" s="192">
        <f>'Scenario 2&amp;3'!Q125</f>
        <v>0.8</v>
      </c>
      <c r="AD28" s="192">
        <f>'Scenario 2&amp;3'!Q137</f>
        <v>0.8</v>
      </c>
      <c r="AE28" s="192">
        <f>'Scenario 2&amp;3'!Q149</f>
        <v>0.8</v>
      </c>
      <c r="AF28" s="192">
        <f>'Scenario 2&amp;3'!Q161</f>
        <v>0.8</v>
      </c>
      <c r="AG28" s="192">
        <f>'Scenario 2&amp;3'!Q173</f>
        <v>0.8</v>
      </c>
      <c r="AH28" s="192">
        <f>'Scenario 2&amp;3'!Q185</f>
        <v>0.8</v>
      </c>
      <c r="AI28" s="192">
        <f>'Scenario 2&amp;3'!Q197</f>
        <v>0.8</v>
      </c>
      <c r="AJ28" s="192">
        <f>'Scenario 2&amp;3'!Q209</f>
        <v>0.8</v>
      </c>
      <c r="AM28" s="171" t="s">
        <v>27</v>
      </c>
      <c r="AN28" s="169">
        <f>'Scenario 2&amp;3'!Q224</f>
        <v>0.8</v>
      </c>
      <c r="AO28" s="169">
        <f>'Scenario 2&amp;3'!Q238</f>
        <v>0.8</v>
      </c>
      <c r="AP28" s="169">
        <f>'Scenario 2&amp;3'!Q252</f>
        <v>0.8</v>
      </c>
      <c r="AQ28" s="169">
        <f>'Scenario 2&amp;3'!Q266</f>
        <v>0.8</v>
      </c>
      <c r="AR28" s="169">
        <f>'Scenario 2&amp;3'!Q280</f>
        <v>0.8</v>
      </c>
      <c r="AS28" s="170">
        <f>'Scenario 2&amp;3'!Q294</f>
        <v>0.8</v>
      </c>
      <c r="AT28" s="169">
        <f>'Scenario 2&amp;3'!Q308</f>
        <v>0.8</v>
      </c>
      <c r="AU28" s="175">
        <f>'Scenario 2&amp;3'!Q322</f>
        <v>0.8</v>
      </c>
      <c r="AV28" s="169">
        <f>'Scenario 2&amp;3'!Q336</f>
        <v>0.8</v>
      </c>
      <c r="AW28" s="169">
        <f>'Scenario 2&amp;3'!Q350</f>
        <v>0.8</v>
      </c>
      <c r="AX28" s="169">
        <f>'Scenario 2&amp;3'!Q364</f>
        <v>0.8</v>
      </c>
      <c r="AY28" s="169">
        <f>'Scenario 2&amp;3'!Q378</f>
        <v>0.8</v>
      </c>
      <c r="AZ28" s="169">
        <f>'Scenario 2&amp;3'!Q392</f>
        <v>0.8</v>
      </c>
      <c r="BA28" s="169">
        <f>'Scenario 2&amp;3'!Q406</f>
        <v>0.8</v>
      </c>
      <c r="BB28" s="169">
        <f>'Scenario 2&amp;3'!Q420</f>
        <v>0.8</v>
      </c>
      <c r="BC28" s="169">
        <f>'Scenario 2&amp;3'!Q434</f>
        <v>0.8</v>
      </c>
      <c r="BD28" s="267"/>
    </row>
    <row r="29" spans="1:56" ht="18">
      <c r="A29" s="164" t="s">
        <v>28</v>
      </c>
      <c r="B29" s="169">
        <f>'Scenario 1'!Q34</f>
        <v>-4.8391175390344397E-2</v>
      </c>
      <c r="C29" s="170">
        <f>'Scenario 1'!Q46</f>
        <v>4.8314931846507602E-4</v>
      </c>
      <c r="D29" s="169">
        <f>'Scenario 1'!Q58</f>
        <v>3.5412419187725599E-2</v>
      </c>
      <c r="E29" s="175">
        <f>'Scenario 1'!Q72</f>
        <v>6.1619790413338801E-2</v>
      </c>
      <c r="F29" s="175">
        <f>'Scenario 1'!Q86</f>
        <v>8.2009478758778898E-2</v>
      </c>
      <c r="G29" s="169">
        <f>'Scenario 1'!Q100</f>
        <v>9.8325122784606006E-2</v>
      </c>
      <c r="H29" s="169">
        <f>'Scenario 1'!Q114</f>
        <v>0.11167686103171</v>
      </c>
      <c r="I29" s="169">
        <f>'Scenario 1'!Q128</f>
        <v>0.12280508032088</v>
      </c>
      <c r="J29" s="169">
        <f>'Scenario 1'!Q142</f>
        <v>0.147292830960666</v>
      </c>
      <c r="K29" s="169">
        <f>'Scenario 1'!Q156</f>
        <v>0.167534983867134</v>
      </c>
      <c r="L29" s="169">
        <f>'Scenario 1'!Q170</f>
        <v>0.18308641022812999</v>
      </c>
      <c r="M29" s="169">
        <f>'Scenario 1'!Q184</f>
        <v>0.193455678573908</v>
      </c>
      <c r="N29" s="169">
        <f>'Scenario 1'!Q198</f>
        <v>0.198432098763236</v>
      </c>
      <c r="O29" s="169">
        <f>'Scenario 1'!Q212</f>
        <v>0.20429191631680499</v>
      </c>
      <c r="P29" s="169">
        <f>'Scenario 1'!Q226</f>
        <v>0.20884982867229099</v>
      </c>
      <c r="Q29" s="169">
        <f>'Scenario 1'!Q240</f>
        <v>0.21079448725394401</v>
      </c>
      <c r="S29" s="164" t="s">
        <v>28</v>
      </c>
      <c r="T29" s="185">
        <f>'Scenario 2&amp;3'!Q12</f>
        <v>-7.4228686488084202E-3</v>
      </c>
      <c r="U29" s="186">
        <f>'Scenario 2&amp;3'!Q24</f>
        <v>4.4019631431405699E-2</v>
      </c>
      <c r="V29" s="187">
        <f>'Scenario 2&amp;3'!Q36</f>
        <v>7.8333764667202294E-2</v>
      </c>
      <c r="W29" s="187">
        <f>'Scenario 2&amp;3'!Q48</f>
        <v>0.10285323791338</v>
      </c>
      <c r="X29" s="192">
        <f>'Scenario 2&amp;3'!Q60</f>
        <v>0.121247974060141</v>
      </c>
      <c r="Y29" s="192">
        <f>'Scenario 2&amp;3'!Q72</f>
        <v>0.13555803291284099</v>
      </c>
      <c r="Z29" s="192">
        <f>'Scenario 2&amp;3'!Q86</f>
        <v>0.147007996910379</v>
      </c>
      <c r="AA29" s="192">
        <f>'Scenario 2&amp;3'!Q98</f>
        <v>0.15095440227567899</v>
      </c>
      <c r="AB29" s="192">
        <f>'Scenario 2&amp;3'!Q112</f>
        <v>0.15921478961278801</v>
      </c>
      <c r="AC29" s="192">
        <f>'Scenario 2&amp;3'!Q126</f>
        <v>0.17739059315146599</v>
      </c>
      <c r="AD29" s="192">
        <f>'Scenario 2&amp;3'!Q138</f>
        <v>0.19557045597338499</v>
      </c>
      <c r="AE29" s="192">
        <f>'Scenario 2&amp;3'!Q150</f>
        <v>0.20409338228972901</v>
      </c>
      <c r="AF29" s="192">
        <f>'Scenario 2&amp;3'!Q162</f>
        <v>0.211765173582213</v>
      </c>
      <c r="AG29" s="192">
        <f>'Scenario 2&amp;3'!Q174</f>
        <v>0.215540356169862</v>
      </c>
      <c r="AH29" s="192">
        <f>'Scenario 2&amp;3'!Q186</f>
        <v>0.21986388892828301</v>
      </c>
      <c r="AI29" s="192">
        <f>'Scenario 2&amp;3'!Q198</f>
        <v>0.221900543726854</v>
      </c>
      <c r="AJ29" s="192">
        <f>'Scenario 2&amp;3'!Q210</f>
        <v>0.22472355231652399</v>
      </c>
      <c r="AM29" s="164" t="s">
        <v>28</v>
      </c>
      <c r="AN29" s="169">
        <f>'Scenario 2&amp;3'!Q225</f>
        <v>-0.150551199649302</v>
      </c>
      <c r="AO29" s="169">
        <f>'Scenario 2&amp;3'!Q239</f>
        <v>-9.6965500041036198E-2</v>
      </c>
      <c r="AP29" s="169">
        <f>'Scenario 2&amp;3'!Q253</f>
        <v>-5.8667099318421602E-2</v>
      </c>
      <c r="AQ29" s="169">
        <f>'Scenario 2&amp;3'!Q267</f>
        <v>-2.99307649538951E-2</v>
      </c>
      <c r="AR29" s="169">
        <f>'Scenario 2&amp;3'!Q281</f>
        <v>-7.5728508979792802E-3</v>
      </c>
      <c r="AS29" s="170">
        <f>'Scenario 2&amp;3'!Q295</f>
        <v>1.0318164465314E-2</v>
      </c>
      <c r="AT29" s="169">
        <f>'Scenario 2&amp;3'!Q309</f>
        <v>2.4959365988324399E-2</v>
      </c>
      <c r="AU29" s="175">
        <f>'Scenario 2&amp;3'!Q323</f>
        <v>3.7162497782586297E-2</v>
      </c>
      <c r="AV29" s="169">
        <f>'Scenario 2&amp;3'!Q337</f>
        <v>6.4016207791646698E-2</v>
      </c>
      <c r="AW29" s="169">
        <f>'Scenario 2&amp;3'!Q351</f>
        <v>8.62122797800772E-2</v>
      </c>
      <c r="AX29" s="169">
        <f>'Scenario 2&amp;3'!Q365</f>
        <v>0.10326765253661099</v>
      </c>
      <c r="AY29" s="169">
        <f>'Scenario 2&amp;3'!Q379</f>
        <v>0.114639887541583</v>
      </c>
      <c r="AZ29" s="169">
        <f>'Scenario 2&amp;3'!Q393</f>
        <v>0.120096418303502</v>
      </c>
      <c r="BA29" s="169">
        <f>'Scenario 2&amp;3'!Q407</f>
        <v>0.12652329529756401</v>
      </c>
      <c r="BB29" s="169">
        <f>'Scenario 2&amp;3'!Q421</f>
        <v>0.13152231013680299</v>
      </c>
      <c r="BC29" s="169">
        <f>'Scenario 2&amp;3'!Q435</f>
        <v>0.13365433664479701</v>
      </c>
      <c r="BD29" s="267"/>
    </row>
    <row r="30" spans="1:56" ht="18">
      <c r="A30" s="261" t="s">
        <v>451</v>
      </c>
      <c r="B30" s="261"/>
      <c r="C30" s="261"/>
      <c r="D30" s="268"/>
      <c r="E30" s="268"/>
      <c r="F30" s="268"/>
      <c r="G30" s="268"/>
      <c r="H30" s="268"/>
      <c r="I30" s="268"/>
      <c r="J30" s="268"/>
      <c r="K30" s="268"/>
      <c r="L30" s="268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  <c r="AM30" s="267"/>
      <c r="AN30" s="267"/>
      <c r="AO30" s="267"/>
      <c r="AP30" s="26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</row>
    <row r="31" spans="1:56" ht="18">
      <c r="A31" s="164" t="s">
        <v>50</v>
      </c>
      <c r="B31" s="165">
        <v>5</v>
      </c>
      <c r="C31" s="198">
        <v>6</v>
      </c>
      <c r="D31" s="165">
        <v>7</v>
      </c>
      <c r="E31" s="165">
        <v>8</v>
      </c>
      <c r="F31" s="165">
        <v>9</v>
      </c>
      <c r="G31" s="165">
        <v>10</v>
      </c>
      <c r="H31" s="165">
        <v>11</v>
      </c>
      <c r="I31" s="165">
        <v>12</v>
      </c>
      <c r="J31" s="165">
        <v>15</v>
      </c>
      <c r="K31" s="199">
        <v>20</v>
      </c>
      <c r="L31" s="165">
        <v>25</v>
      </c>
      <c r="M31" s="199">
        <v>30</v>
      </c>
      <c r="N31" s="165">
        <v>35</v>
      </c>
      <c r="O31" s="199">
        <v>40</v>
      </c>
      <c r="P31" s="165">
        <v>45</v>
      </c>
      <c r="Q31" s="199">
        <v>50</v>
      </c>
      <c r="BD31" s="267"/>
    </row>
    <row r="32" spans="1:56" ht="18">
      <c r="A32" s="165" t="s">
        <v>3</v>
      </c>
      <c r="B32" s="192">
        <f>B9</f>
        <v>-4.83911753903443E-2</v>
      </c>
      <c r="C32" s="192">
        <f>C9</f>
        <v>4.8314931846517902E-4</v>
      </c>
      <c r="D32" s="192">
        <f>D9</f>
        <v>3.5412419187725398E-2</v>
      </c>
      <c r="E32" s="192">
        <f>E9</f>
        <v>6.1619790413339003E-2</v>
      </c>
      <c r="F32" s="192">
        <f>F9</f>
        <v>8.2009478758778995E-2</v>
      </c>
      <c r="G32" s="192">
        <f>G9</f>
        <v>9.8325122784606006E-2</v>
      </c>
      <c r="H32" s="192">
        <f>H9</f>
        <v>0.11167686103171</v>
      </c>
      <c r="I32" s="192">
        <f>I9</f>
        <v>0.12280508032088</v>
      </c>
      <c r="J32" s="192">
        <f>J9</f>
        <v>0.147292830960666</v>
      </c>
      <c r="K32" s="192">
        <f>K9</f>
        <v>0.167534983867134</v>
      </c>
      <c r="L32" s="192">
        <f>L9</f>
        <v>0.18308641022812999</v>
      </c>
      <c r="M32" s="192">
        <f>M9</f>
        <v>0.193455678573908</v>
      </c>
      <c r="N32" s="192">
        <f>N9</f>
        <v>0.198432098763236</v>
      </c>
      <c r="O32" s="192">
        <f>O9</f>
        <v>0.20429191631680499</v>
      </c>
      <c r="P32" s="192">
        <f>P9</f>
        <v>0.20884982867229099</v>
      </c>
      <c r="Q32" s="192">
        <f>Q9</f>
        <v>0.21079448725394501</v>
      </c>
      <c r="BD32" s="267"/>
    </row>
    <row r="33" spans="1:56" ht="18">
      <c r="A33" s="165" t="s">
        <v>4</v>
      </c>
      <c r="B33" s="192">
        <f>U9</f>
        <v>4.4019631431405602E-2</v>
      </c>
      <c r="C33" s="192">
        <f>V9</f>
        <v>7.8333764667202405E-2</v>
      </c>
      <c r="D33" s="192">
        <f>W9</f>
        <v>0.10285323791338</v>
      </c>
      <c r="E33" s="192">
        <f>X9</f>
        <v>0.121247974060141</v>
      </c>
      <c r="F33" s="192">
        <f>Y9</f>
        <v>0.13555803291284099</v>
      </c>
      <c r="G33" s="192">
        <f>Z9</f>
        <v>0.147007996910379</v>
      </c>
      <c r="H33" s="192">
        <f>AA9</f>
        <v>0.15095440227567999</v>
      </c>
      <c r="I33" s="192">
        <f>AB9</f>
        <v>0.15921478961278801</v>
      </c>
      <c r="J33" s="192">
        <f>AC9</f>
        <v>0.17739059315146599</v>
      </c>
      <c r="K33" s="192">
        <f>AD9</f>
        <v>0.19557045597338499</v>
      </c>
      <c r="L33" s="192">
        <f>AE9</f>
        <v>0.20409338228972901</v>
      </c>
      <c r="M33" s="192">
        <f>AF9</f>
        <v>0.211765173582213</v>
      </c>
      <c r="N33" s="192">
        <f>AG9</f>
        <v>0.215540356169862</v>
      </c>
      <c r="O33" s="192">
        <f>AH9</f>
        <v>0.21986388892828301</v>
      </c>
      <c r="P33" s="192">
        <f>AI9</f>
        <v>0.221900543726854</v>
      </c>
      <c r="Q33" s="192">
        <f>AJ9</f>
        <v>0.22472355231652499</v>
      </c>
      <c r="BD33" s="267"/>
    </row>
    <row r="34" spans="1:56" ht="18">
      <c r="A34" s="165" t="s">
        <v>5</v>
      </c>
      <c r="B34" s="192">
        <f>AN9</f>
        <v>-0.150551199649302</v>
      </c>
      <c r="C34" s="192">
        <f>AO9</f>
        <v>-9.6965500041036198E-2</v>
      </c>
      <c r="D34" s="192">
        <f>AP9</f>
        <v>-5.8667099318421803E-2</v>
      </c>
      <c r="E34" s="192">
        <f>AQ9</f>
        <v>-2.9930764953894899E-2</v>
      </c>
      <c r="F34" s="192">
        <f>AR9</f>
        <v>-7.57285089797919E-3</v>
      </c>
      <c r="G34" s="192">
        <f>AS9</f>
        <v>1.0318164465314E-2</v>
      </c>
      <c r="H34" s="192">
        <f>AT9</f>
        <v>2.4959365988324399E-2</v>
      </c>
      <c r="I34" s="192">
        <f>AU9</f>
        <v>3.7162497782586401E-2</v>
      </c>
      <c r="J34" s="192">
        <f>AV9</f>
        <v>6.4016207791646698E-2</v>
      </c>
      <c r="K34" s="192">
        <f>AW9</f>
        <v>8.62122797800772E-2</v>
      </c>
      <c r="L34" s="192">
        <f>AX9</f>
        <v>0.10326765253661099</v>
      </c>
      <c r="M34" s="192">
        <f>AY9</f>
        <v>0.114639887541583</v>
      </c>
      <c r="N34" s="192">
        <f>AZ9</f>
        <v>0.120096418303502</v>
      </c>
      <c r="O34" s="192">
        <f>BA9</f>
        <v>0.12652329529756401</v>
      </c>
      <c r="P34" s="192">
        <f>BB9</f>
        <v>0.13152231013680299</v>
      </c>
      <c r="Q34" s="192">
        <f>BC9</f>
        <v>0.13365433664479701</v>
      </c>
      <c r="BD34" s="267"/>
    </row>
    <row r="35" spans="1:56" ht="18">
      <c r="A35" s="172"/>
      <c r="B35" s="172"/>
      <c r="C35" s="172"/>
      <c r="D35" s="176"/>
      <c r="E35" s="176"/>
      <c r="F35" s="176"/>
      <c r="G35" s="176"/>
      <c r="H35" s="176"/>
      <c r="I35" s="176"/>
      <c r="J35" s="176"/>
      <c r="K35" s="176"/>
      <c r="L35" s="176"/>
      <c r="BD35" s="267"/>
    </row>
    <row r="36" spans="1:56">
      <c r="BD36" s="267"/>
    </row>
    <row r="37" spans="1:56">
      <c r="BD37" s="267"/>
    </row>
    <row r="38" spans="1:56">
      <c r="BD38" s="267"/>
    </row>
    <row r="39" spans="1:56">
      <c r="BD39" s="267"/>
    </row>
    <row r="40" spans="1:56">
      <c r="BD40" s="267"/>
    </row>
    <row r="41" spans="1:56">
      <c r="BD41" s="267"/>
    </row>
    <row r="42" spans="1:56">
      <c r="BD42" s="267"/>
    </row>
    <row r="43" spans="1:56">
      <c r="BD43" s="267"/>
    </row>
    <row r="44" spans="1:56">
      <c r="BD44" s="267"/>
    </row>
    <row r="45" spans="1:56">
      <c r="BD45" s="267"/>
    </row>
    <row r="46" spans="1:56">
      <c r="BD46" s="267"/>
    </row>
    <row r="47" spans="1:56">
      <c r="BD47" s="267"/>
    </row>
    <row r="48" spans="1:56">
      <c r="BD48" s="267"/>
    </row>
    <row r="49" spans="56:56">
      <c r="BD49" s="267"/>
    </row>
    <row r="50" spans="56:56">
      <c r="BD50" s="267"/>
    </row>
    <row r="51" spans="56:56">
      <c r="BD51" s="267"/>
    </row>
    <row r="52" spans="56:56">
      <c r="BD52" s="267"/>
    </row>
    <row r="53" spans="56:56">
      <c r="BD53" s="267"/>
    </row>
    <row r="54" spans="56:56">
      <c r="BD54" s="267"/>
    </row>
    <row r="55" spans="56:56">
      <c r="BD55" s="267"/>
    </row>
    <row r="56" spans="56:56">
      <c r="BD56" s="267"/>
    </row>
    <row r="57" spans="56:56">
      <c r="BD57" s="267"/>
    </row>
    <row r="58" spans="56:56">
      <c r="BD58" s="267"/>
    </row>
    <row r="59" spans="56:56">
      <c r="BD59" s="267"/>
    </row>
    <row r="60" spans="56:56">
      <c r="BD60" s="267"/>
    </row>
    <row r="61" spans="56:56">
      <c r="BD61" s="267"/>
    </row>
    <row r="62" spans="56:56">
      <c r="BD62" s="267"/>
    </row>
    <row r="63" spans="56:56">
      <c r="BD63" s="267"/>
    </row>
    <row r="64" spans="56:56">
      <c r="BD64" s="267"/>
    </row>
    <row r="65" spans="1:56">
      <c r="BD65" s="267"/>
    </row>
    <row r="66" spans="1:56">
      <c r="BD66" s="267"/>
    </row>
    <row r="67" spans="1:56">
      <c r="BD67" s="267"/>
    </row>
    <row r="68" spans="1:56">
      <c r="BD68" s="267"/>
    </row>
    <row r="69" spans="1:56">
      <c r="BD69" s="267"/>
    </row>
    <row r="70" spans="1:56">
      <c r="BD70" s="267"/>
    </row>
    <row r="71" spans="1:56">
      <c r="BD71" s="267"/>
    </row>
    <row r="72" spans="1:56">
      <c r="BD72" s="267"/>
    </row>
    <row r="73" spans="1:56">
      <c r="BD73" s="267"/>
    </row>
    <row r="74" spans="1:56" ht="18">
      <c r="A74" s="261" t="s">
        <v>452</v>
      </c>
      <c r="B74" s="267"/>
      <c r="C74" s="267"/>
      <c r="D74" s="267"/>
      <c r="E74" s="267"/>
      <c r="F74" s="267"/>
      <c r="G74" s="267"/>
      <c r="H74" s="267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267"/>
      <c r="AW74" s="267"/>
      <c r="AX74" s="267"/>
      <c r="AY74" s="267"/>
      <c r="AZ74" s="267"/>
      <c r="BA74" s="267"/>
      <c r="BB74" s="267"/>
      <c r="BC74" s="267"/>
      <c r="BD74" s="267"/>
    </row>
    <row r="75" spans="1:56">
      <c r="A75" s="253" t="s">
        <v>3</v>
      </c>
      <c r="B75" s="253">
        <v>5</v>
      </c>
      <c r="C75" s="253">
        <v>6</v>
      </c>
      <c r="D75" s="253">
        <v>7</v>
      </c>
      <c r="E75" s="253">
        <v>8</v>
      </c>
      <c r="F75" s="253">
        <v>9</v>
      </c>
      <c r="G75" s="253">
        <v>10</v>
      </c>
      <c r="H75" s="253">
        <v>11</v>
      </c>
      <c r="I75" s="253">
        <v>12</v>
      </c>
      <c r="J75" s="253">
        <v>15</v>
      </c>
      <c r="K75" s="253">
        <v>20</v>
      </c>
      <c r="L75" s="253">
        <v>25</v>
      </c>
      <c r="M75" s="253">
        <v>30</v>
      </c>
      <c r="N75" s="253">
        <v>35</v>
      </c>
      <c r="O75" s="253">
        <v>40</v>
      </c>
      <c r="P75" s="253">
        <v>45</v>
      </c>
      <c r="Q75" s="253">
        <v>50</v>
      </c>
      <c r="BD75" s="267"/>
    </row>
    <row r="76" spans="1:56" s="248" customFormat="1" ht="18">
      <c r="A76" s="164" t="s">
        <v>50</v>
      </c>
      <c r="B76" s="185">
        <f>B9</f>
        <v>-4.83911753903443E-2</v>
      </c>
      <c r="C76" s="247">
        <f>C9</f>
        <v>4.8314931846517902E-4</v>
      </c>
      <c r="D76" s="185">
        <f>D9</f>
        <v>3.5412419187725398E-2</v>
      </c>
      <c r="E76" s="185">
        <f>E9</f>
        <v>6.1619790413339003E-2</v>
      </c>
      <c r="F76" s="185">
        <f>F9</f>
        <v>8.2009478758778995E-2</v>
      </c>
      <c r="G76" s="185">
        <f>G9</f>
        <v>9.8325122784606006E-2</v>
      </c>
      <c r="H76" s="185">
        <f>H9</f>
        <v>0.11167686103171</v>
      </c>
      <c r="I76" s="185">
        <f>I9</f>
        <v>0.12280508032088</v>
      </c>
      <c r="J76" s="185">
        <f>J9</f>
        <v>0.147292830960666</v>
      </c>
      <c r="K76" s="185">
        <f>K9</f>
        <v>0.167534983867134</v>
      </c>
      <c r="L76" s="185">
        <f>L9</f>
        <v>0.18308641022812999</v>
      </c>
      <c r="M76" s="185">
        <f>M9</f>
        <v>0.193455678573908</v>
      </c>
      <c r="N76" s="185">
        <f>N9</f>
        <v>0.198432098763236</v>
      </c>
      <c r="O76" s="185">
        <f>O9</f>
        <v>0.20429191631680499</v>
      </c>
      <c r="P76" s="185">
        <f>P9</f>
        <v>0.20884982867229099</v>
      </c>
      <c r="Q76" s="185">
        <f>Q9</f>
        <v>0.21079448725394501</v>
      </c>
      <c r="BD76" s="269"/>
    </row>
    <row r="77" spans="1:56" s="246" customFormat="1" ht="18">
      <c r="A77" s="164" t="s">
        <v>14</v>
      </c>
      <c r="B77" s="256">
        <f>'Scenario 1'!D34</f>
        <v>-19.171540663084802</v>
      </c>
      <c r="C77" s="256">
        <f>'Scenario 1'!D46</f>
        <v>0.191352487912331</v>
      </c>
      <c r="D77" s="256">
        <f>'Scenario 1'!D58</f>
        <v>14.021990452910201</v>
      </c>
      <c r="E77" s="256">
        <f>'Scenario 1'!D72</f>
        <v>24.394968926658802</v>
      </c>
      <c r="F77" s="256">
        <f>'Scenario 1'!D86</f>
        <v>32.462841072907601</v>
      </c>
      <c r="G77" s="256">
        <f>'Scenario 1'!D100</f>
        <v>38.917138789906602</v>
      </c>
      <c r="H77" s="256">
        <f>'Scenario 1'!D114</f>
        <v>44.197927831087704</v>
      </c>
      <c r="I77" s="256">
        <f>'Scenario 1'!D128</f>
        <v>48.598585365405199</v>
      </c>
      <c r="J77" s="256">
        <f>'Scenario 1'!D142</f>
        <v>58.280031940903797</v>
      </c>
      <c r="K77" s="256">
        <f>'Scenario 1'!D156</f>
        <v>66.278786208710102</v>
      </c>
      <c r="L77" s="256">
        <f>'Scenario 1'!D170</f>
        <v>72.424192615547696</v>
      </c>
      <c r="M77" s="256">
        <f>'Scenario 1'!D184</f>
        <v>76.521130220106102</v>
      </c>
      <c r="N77" s="256">
        <f>'Scenario 1'!D198</f>
        <v>78.485975761823596</v>
      </c>
      <c r="O77" s="256">
        <f>'Scenario 1'!D212</f>
        <v>80.800956071957899</v>
      </c>
      <c r="P77" s="256">
        <f>'Scenario 1'!D226</f>
        <v>82.601496313173499</v>
      </c>
      <c r="Q77" s="256">
        <f>'Scenario 1'!D240</f>
        <v>83.368851583069002</v>
      </c>
      <c r="BD77" s="270"/>
    </row>
    <row r="78" spans="1:56" ht="18">
      <c r="A78" s="164" t="s">
        <v>18</v>
      </c>
      <c r="B78" s="256">
        <f>'Scenario 1'!J34</f>
        <v>-191.715406630849</v>
      </c>
      <c r="C78" s="256">
        <f>'Scenario 1'!J46</f>
        <v>2.2962298549476801</v>
      </c>
      <c r="D78" s="256">
        <f>'Scenario 1'!J58</f>
        <v>196.307866340744</v>
      </c>
      <c r="E78" s="256">
        <f>'Scenario 1'!J72</f>
        <v>390.31950282653997</v>
      </c>
      <c r="F78" s="256">
        <f>'Scenario 1'!J86</f>
        <v>584.33113931233595</v>
      </c>
      <c r="G78" s="256">
        <f>'Scenario 1'!J100</f>
        <v>778.34277579812999</v>
      </c>
      <c r="H78" s="256">
        <f>'Scenario 1'!J114</f>
        <v>972.35441228392597</v>
      </c>
      <c r="I78" s="256">
        <f>'Scenario 1'!J128</f>
        <v>1166.36604876972</v>
      </c>
      <c r="J78" s="256">
        <f>'Scenario 1'!J142</f>
        <v>1748.4009582271101</v>
      </c>
      <c r="K78" s="256">
        <f>'Scenario 1'!J156</f>
        <v>2651.1514483484002</v>
      </c>
      <c r="L78" s="256">
        <f>'Scenario 1'!J170</f>
        <v>3621.20963077738</v>
      </c>
      <c r="M78" s="256">
        <f>'Scenario 1'!J184</f>
        <v>4591.2678132063602</v>
      </c>
      <c r="N78" s="256">
        <f>'Scenario 1'!J198</f>
        <v>5494.0183033276498</v>
      </c>
      <c r="O78" s="256">
        <f>'Scenario 1'!J212</f>
        <v>6464.0764857566301</v>
      </c>
      <c r="P78" s="256">
        <f>'Scenario 1'!J226</f>
        <v>7434.1346681856103</v>
      </c>
      <c r="Q78" s="256">
        <f>'Scenario 1'!J240</f>
        <v>8336.8851583069008</v>
      </c>
      <c r="BD78" s="267"/>
    </row>
    <row r="79" spans="1:56" ht="18">
      <c r="A79" s="164" t="s">
        <v>21</v>
      </c>
      <c r="B79" s="256">
        <f>'Scenario 1'!P34</f>
        <v>-59815.206868824702</v>
      </c>
      <c r="C79" s="256">
        <f>'Scenario 1'!P46</f>
        <v>716.423714743613</v>
      </c>
      <c r="D79" s="256">
        <f>'Scenario 1'!P58</f>
        <v>61248.0542983122</v>
      </c>
      <c r="E79" s="256">
        <f>'Scenario 1'!P72</f>
        <v>121779.68488188001</v>
      </c>
      <c r="F79" s="256">
        <f>'Scenario 1'!P86</f>
        <v>182311.31546544901</v>
      </c>
      <c r="G79" s="256">
        <f>'Scenario 1'!P100</f>
        <v>242842.94604901699</v>
      </c>
      <c r="H79" s="256">
        <f>'Scenario 1'!P114</f>
        <v>303374.57663258602</v>
      </c>
      <c r="I79" s="256">
        <f>'Scenario 1'!P128</f>
        <v>363906.20721615403</v>
      </c>
      <c r="J79" s="256">
        <f>'Scenario 1'!P142</f>
        <v>545501.09896685905</v>
      </c>
      <c r="K79" s="256">
        <f>'Scenario 1'!P156</f>
        <v>827159.25188470096</v>
      </c>
      <c r="L79" s="256">
        <f>'Scenario 1'!P170</f>
        <v>1129817.4048025401</v>
      </c>
      <c r="M79" s="256">
        <f>'Scenario 1'!P184</f>
        <v>1432475.5577203899</v>
      </c>
      <c r="N79" s="256">
        <f>'Scenario 1'!P198</f>
        <v>1714133.71063823</v>
      </c>
      <c r="O79" s="256">
        <f>'Scenario 1'!P212</f>
        <v>2016791.86355607</v>
      </c>
      <c r="P79" s="256">
        <f>'Scenario 1'!P226</f>
        <v>2319450.0164739098</v>
      </c>
      <c r="Q79" s="256">
        <f>'Scenario 1'!P240</f>
        <v>2601108.1693917499</v>
      </c>
      <c r="BD79" s="267"/>
    </row>
    <row r="80" spans="1:56" ht="18">
      <c r="A80" s="250"/>
      <c r="B80" s="262"/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BD80" s="267"/>
    </row>
    <row r="81" spans="1:56">
      <c r="A81" s="249"/>
      <c r="B81" s="249"/>
      <c r="C81" s="251"/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BD81" s="267"/>
    </row>
    <row r="82" spans="1:56">
      <c r="A82" s="253" t="s">
        <v>4</v>
      </c>
      <c r="B82" s="253">
        <v>5</v>
      </c>
      <c r="C82" s="253">
        <v>6</v>
      </c>
      <c r="D82" s="253">
        <v>7</v>
      </c>
      <c r="E82" s="253">
        <v>8</v>
      </c>
      <c r="F82" s="253">
        <v>9</v>
      </c>
      <c r="G82" s="253">
        <v>10</v>
      </c>
      <c r="H82" s="253">
        <v>11</v>
      </c>
      <c r="I82" s="253">
        <v>12</v>
      </c>
      <c r="J82" s="253">
        <v>15</v>
      </c>
      <c r="K82" s="253">
        <v>20</v>
      </c>
      <c r="L82" s="253">
        <v>25</v>
      </c>
      <c r="M82" s="253">
        <v>30</v>
      </c>
      <c r="N82" s="253">
        <v>35</v>
      </c>
      <c r="O82" s="253">
        <v>40</v>
      </c>
      <c r="P82" s="253">
        <v>45</v>
      </c>
      <c r="Q82" s="253">
        <v>50</v>
      </c>
      <c r="BD82" s="267"/>
    </row>
    <row r="83" spans="1:56" ht="18">
      <c r="A83" s="164" t="s">
        <v>50</v>
      </c>
      <c r="B83" s="255">
        <f>U9</f>
        <v>4.4019631431405602E-2</v>
      </c>
      <c r="C83" s="187">
        <f>V9</f>
        <v>7.8333764667202405E-2</v>
      </c>
      <c r="D83" s="255">
        <f>W9</f>
        <v>0.10285323791338</v>
      </c>
      <c r="E83" s="255">
        <f>X9</f>
        <v>0.121247974060141</v>
      </c>
      <c r="F83" s="255">
        <f>Y9</f>
        <v>0.13555803291284099</v>
      </c>
      <c r="G83" s="255">
        <f>Z9</f>
        <v>0.147007996910379</v>
      </c>
      <c r="H83" s="255">
        <f>AA9</f>
        <v>0.15095440227567999</v>
      </c>
      <c r="I83" s="255">
        <f>AB9</f>
        <v>0.15921478961278801</v>
      </c>
      <c r="J83" s="255">
        <f>AC9</f>
        <v>0.17739059315146599</v>
      </c>
      <c r="K83" s="255">
        <f>AD9</f>
        <v>0.19557045597338499</v>
      </c>
      <c r="L83" s="255">
        <f>AE9</f>
        <v>0.20409338228972901</v>
      </c>
      <c r="M83" s="255">
        <f>AF9</f>
        <v>0.211765173582213</v>
      </c>
      <c r="N83" s="255">
        <f>AG9</f>
        <v>0.215540356169862</v>
      </c>
      <c r="O83" s="255">
        <f>AH9</f>
        <v>0.21986388892828301</v>
      </c>
      <c r="P83" s="255">
        <f>AI9</f>
        <v>0.221900543726854</v>
      </c>
      <c r="Q83" s="255">
        <f>AJ9</f>
        <v>0.22472355231652499</v>
      </c>
      <c r="BD83" s="267"/>
    </row>
    <row r="84" spans="1:56" s="246" customFormat="1" ht="18">
      <c r="A84" s="164" t="s">
        <v>14</v>
      </c>
      <c r="B84" s="257">
        <f>'Scenario 2&amp;3'!D24</f>
        <v>16.5681345277983</v>
      </c>
      <c r="C84" s="258">
        <f>'Scenario 2&amp;3'!D36</f>
        <v>29.476729961796501</v>
      </c>
      <c r="D84" s="257">
        <f>'Scenario 2&amp;3'!D48</f>
        <v>38.697155271795097</v>
      </c>
      <c r="E84" s="257">
        <f>'Scenario 2&amp;3'!D60</f>
        <v>45.612474254294099</v>
      </c>
      <c r="F84" s="257">
        <f>'Scenario 2&amp;3'!D72</f>
        <v>50.991055685126597</v>
      </c>
      <c r="G84" s="257">
        <f>'Scenario 2&amp;3'!D86</f>
        <v>55.293920829792697</v>
      </c>
      <c r="H84" s="257">
        <f>'Scenario 2&amp;3'!D98</f>
        <v>56.774819817619701</v>
      </c>
      <c r="I84" s="257">
        <f>'Scenario 2&amp;3'!D112</f>
        <v>59.8785604271336</v>
      </c>
      <c r="J84" s="257">
        <f>'Scenario 2&amp;3'!D126</f>
        <v>66.706789768064297</v>
      </c>
      <c r="K84" s="257">
        <f>'Scenario 2&amp;3'!D138</f>
        <v>73.535019108994902</v>
      </c>
      <c r="L84" s="257">
        <f>'Scenario 2&amp;3'!D150</f>
        <v>76.734520816117495</v>
      </c>
      <c r="M84" s="257">
        <f>'Scenario 2&amp;3'!D162</f>
        <v>79.615385202062399</v>
      </c>
      <c r="N84" s="257">
        <f>'Scenario 2&amp;3'!D174</f>
        <v>81.032119836711701</v>
      </c>
      <c r="O84" s="257">
        <f>'Scenario 2&amp;3'!D186</f>
        <v>82.655568248596097</v>
      </c>
      <c r="P84" s="257">
        <f>'Scenario 2&amp;3'!D198</f>
        <v>83.419674848152894</v>
      </c>
      <c r="Q84" s="257">
        <f>'Scenario 2&amp;3'!D210</f>
        <v>84.479678076516294</v>
      </c>
      <c r="BD84" s="270"/>
    </row>
    <row r="85" spans="1:56" ht="18">
      <c r="A85" s="164" t="s">
        <v>54</v>
      </c>
      <c r="B85" s="257">
        <f>'Scenario 2&amp;3'!J24</f>
        <v>248.52201791697499</v>
      </c>
      <c r="C85" s="258">
        <f>'Scenario 2&amp;3'!J36</f>
        <v>530.58113931233595</v>
      </c>
      <c r="D85" s="257">
        <f>'Scenario 2&amp;3'!J48</f>
        <v>812.64026070769603</v>
      </c>
      <c r="E85" s="257">
        <f>'Scenario 2&amp;3'!J60</f>
        <v>1094.6993821030601</v>
      </c>
      <c r="F85" s="257">
        <f>'Scenario 2&amp;3'!J72</f>
        <v>1376.7585034984199</v>
      </c>
      <c r="G85" s="257">
        <f>'Scenario 2&amp;3'!J86</f>
        <v>1658.81762489378</v>
      </c>
      <c r="H85" s="257">
        <f>'Scenario 2&amp;3'!J98</f>
        <v>1873.56905398145</v>
      </c>
      <c r="I85" s="257">
        <f>'Scenario 2&amp;3'!J112</f>
        <v>2155.6281753768098</v>
      </c>
      <c r="J85" s="257">
        <f>'Scenario 2&amp;3'!J126</f>
        <v>3001.8055395628899</v>
      </c>
      <c r="K85" s="257">
        <f>'Scenario 2&amp;3'!J138</f>
        <v>4412.1011465396896</v>
      </c>
      <c r="L85" s="257">
        <f>'Scenario 2&amp;3'!J150</f>
        <v>5755.0890612088097</v>
      </c>
      <c r="M85" s="257">
        <f>'Scenario 2&amp;3'!J162</f>
        <v>7165.3846681856103</v>
      </c>
      <c r="N85" s="257">
        <f>'Scenario 2&amp;3'!J174</f>
        <v>8508.3725828547194</v>
      </c>
      <c r="O85" s="257">
        <f>'Scenario 2&amp;3'!J186</f>
        <v>9918.6681898315292</v>
      </c>
      <c r="P85" s="257">
        <f>'Scenario 2&amp;3'!J198</f>
        <v>11261.6561045006</v>
      </c>
      <c r="Q85" s="257">
        <f>'Scenario 2&amp;3'!J210</f>
        <v>12671.951711477401</v>
      </c>
      <c r="BD85" s="267"/>
    </row>
    <row r="86" spans="1:56" ht="18">
      <c r="A86" s="164" t="s">
        <v>21</v>
      </c>
      <c r="B86" s="257">
        <f>'Scenario 2&amp;3'!P24</f>
        <v>77538.869590096394</v>
      </c>
      <c r="C86" s="258">
        <f>'Scenario 2&amp;3'!P36</f>
        <v>165541.31546544901</v>
      </c>
      <c r="D86" s="257">
        <f>'Scenario 2&amp;3'!P48</f>
        <v>253543.76134080099</v>
      </c>
      <c r="E86" s="257">
        <f>'Scenario 2&amp;3'!P60</f>
        <v>341546.20721615403</v>
      </c>
      <c r="F86" s="257">
        <f>'Scenario 2&amp;3'!P72</f>
        <v>429548.65309150598</v>
      </c>
      <c r="G86" s="257">
        <f>'Scenario 2&amp;3'!P86</f>
        <v>517551.09896685899</v>
      </c>
      <c r="H86" s="257">
        <f>'Scenario 2&amp;3'!P98</f>
        <v>584553.54484221095</v>
      </c>
      <c r="I86" s="257">
        <f>'Scenario 2&amp;3'!P112</f>
        <v>672555.99071756401</v>
      </c>
      <c r="J86" s="257">
        <f>'Scenario 2&amp;3'!P126</f>
        <v>936563.32834362204</v>
      </c>
      <c r="K86" s="257">
        <f>'Scenario 2&amp;3'!P138</f>
        <v>1376575.5577203899</v>
      </c>
      <c r="L86" s="257">
        <f>'Scenario 2&amp;3'!P150</f>
        <v>1795587.78709715</v>
      </c>
      <c r="M86" s="257">
        <f>'Scenario 2&amp;3'!P162</f>
        <v>2235600.0164739098</v>
      </c>
      <c r="N86" s="257">
        <f>'Scenario 2&amp;3'!P174</f>
        <v>2654612.2458506702</v>
      </c>
      <c r="O86" s="257">
        <f>'Scenario 2&amp;3'!P186</f>
        <v>3094624.4752274398</v>
      </c>
      <c r="P86" s="257">
        <f>'Scenario 2&amp;3'!P198</f>
        <v>3513636.7046042001</v>
      </c>
      <c r="Q86" s="257">
        <f>'Scenario 2&amp;3'!P210</f>
        <v>3953648.9339809599</v>
      </c>
      <c r="BD86" s="267"/>
    </row>
    <row r="87" spans="1:56" ht="18">
      <c r="A87" s="250"/>
      <c r="B87" s="263"/>
      <c r="C87" s="264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BD87" s="267"/>
    </row>
    <row r="88" spans="1:56">
      <c r="A88" s="254" t="s">
        <v>5</v>
      </c>
      <c r="B88" s="253">
        <v>5</v>
      </c>
      <c r="C88" s="253">
        <v>6</v>
      </c>
      <c r="D88" s="253">
        <v>7</v>
      </c>
      <c r="E88" s="253">
        <v>8</v>
      </c>
      <c r="F88" s="253">
        <v>9</v>
      </c>
      <c r="G88" s="253">
        <v>10</v>
      </c>
      <c r="H88" s="253">
        <v>11</v>
      </c>
      <c r="I88" s="253">
        <v>12</v>
      </c>
      <c r="J88" s="253">
        <v>15</v>
      </c>
      <c r="K88" s="253">
        <v>20</v>
      </c>
      <c r="L88" s="253">
        <v>25</v>
      </c>
      <c r="M88" s="253">
        <v>30</v>
      </c>
      <c r="N88" s="253">
        <v>35</v>
      </c>
      <c r="O88" s="253">
        <v>40</v>
      </c>
      <c r="P88" s="253">
        <v>45</v>
      </c>
      <c r="Q88" s="253">
        <v>50</v>
      </c>
      <c r="BD88" s="267"/>
    </row>
    <row r="89" spans="1:56" ht="18">
      <c r="A89" s="164" t="s">
        <v>50</v>
      </c>
      <c r="B89" s="255">
        <f>AN9</f>
        <v>-0.150551199649302</v>
      </c>
      <c r="C89" s="187">
        <f>AO9</f>
        <v>-9.6965500041036198E-2</v>
      </c>
      <c r="D89" s="255">
        <f>AP9</f>
        <v>-5.8667099318421803E-2</v>
      </c>
      <c r="E89" s="255">
        <f>AQ9</f>
        <v>-2.9930764953894899E-2</v>
      </c>
      <c r="F89" s="255">
        <f>AR9</f>
        <v>-7.57285089797919E-3</v>
      </c>
      <c r="G89" s="255">
        <f>AS9</f>
        <v>1.0318164465314E-2</v>
      </c>
      <c r="H89" s="255">
        <f>AT9</f>
        <v>2.4959365988324399E-2</v>
      </c>
      <c r="I89" s="255">
        <f>AU9</f>
        <v>3.7162497782586401E-2</v>
      </c>
      <c r="J89" s="255">
        <f>AV9</f>
        <v>6.4016207791646698E-2</v>
      </c>
      <c r="K89" s="255">
        <f>AW9</f>
        <v>8.62122797800772E-2</v>
      </c>
      <c r="L89" s="255">
        <f>AX9</f>
        <v>0.10326765253661099</v>
      </c>
      <c r="M89" s="255">
        <f>AY9</f>
        <v>0.114639887541583</v>
      </c>
      <c r="N89" s="255">
        <f>AZ9</f>
        <v>0.120096418303502</v>
      </c>
      <c r="O89" s="255">
        <f>BA9</f>
        <v>0.12652329529756401</v>
      </c>
      <c r="P89" s="255">
        <f>BB9</f>
        <v>0.13152231013680299</v>
      </c>
      <c r="Q89" s="255">
        <f>BC9</f>
        <v>0.13365433664479701</v>
      </c>
      <c r="BD89" s="267"/>
    </row>
    <row r="90" spans="1:56" s="246" customFormat="1" ht="18">
      <c r="A90" s="164" t="s">
        <v>14</v>
      </c>
      <c r="B90" s="257">
        <f>'Scenario 2&amp;3'!D225</f>
        <v>-54.366519295563499</v>
      </c>
      <c r="C90" s="257">
        <f>'Scenario 2&amp;3'!D239</f>
        <v>-35.003626144566297</v>
      </c>
      <c r="D90" s="257">
        <f>'Scenario 2&amp;3'!D253</f>
        <v>-21.172988179568399</v>
      </c>
      <c r="E90" s="257">
        <f>'Scenario 2&amp;3'!D267</f>
        <v>-10.8000097058199</v>
      </c>
      <c r="F90" s="257">
        <f>'Scenario 2&amp;3'!D281</f>
        <v>-2.7321375595710702</v>
      </c>
      <c r="G90" s="257">
        <f>'Scenario 2&amp;3'!D295</f>
        <v>3.7221601574279601</v>
      </c>
      <c r="H90" s="257">
        <f>'Scenario 2&amp;3'!D309</f>
        <v>9.0029491986090004</v>
      </c>
      <c r="I90" s="257">
        <f>'Scenario 2&amp;3'!D323</f>
        <v>13.403606732926599</v>
      </c>
      <c r="J90" s="257">
        <f>'Scenario 2&amp;3'!D337</f>
        <v>23.085053308425099</v>
      </c>
      <c r="K90" s="257">
        <f>'Scenario 2&amp;3'!D351</f>
        <v>31.083807576231401</v>
      </c>
      <c r="L90" s="257">
        <f>'Scenario 2&amp;3'!D365</f>
        <v>37.229213983069002</v>
      </c>
      <c r="M90" s="257">
        <f>'Scenario 2&amp;3'!D379</f>
        <v>41.3261515876274</v>
      </c>
      <c r="N90" s="257">
        <f>'Scenario 2&amp;3'!D393</f>
        <v>43.290997129344902</v>
      </c>
      <c r="O90" s="257">
        <f>'Scenario 2&amp;3'!D407</f>
        <v>45.605977439479197</v>
      </c>
      <c r="P90" s="257">
        <f>'Scenario 2&amp;3'!D421</f>
        <v>47.406517680694797</v>
      </c>
      <c r="Q90" s="257">
        <f>'Scenario 2&amp;3'!D435</f>
        <v>48.173872950590301</v>
      </c>
      <c r="BD90" s="270"/>
    </row>
    <row r="91" spans="1:56" ht="18">
      <c r="A91" s="164" t="s">
        <v>18</v>
      </c>
      <c r="B91" s="257">
        <f>'Scenario 2&amp;3'!J225</f>
        <v>-543.66519295563501</v>
      </c>
      <c r="C91" s="257">
        <f>'Scenario 2&amp;3'!J239</f>
        <v>-420.04351373479602</v>
      </c>
      <c r="D91" s="257">
        <f>'Scenario 2&amp;3'!J253</f>
        <v>-296.42183451395698</v>
      </c>
      <c r="E91" s="257">
        <f>'Scenario 2&amp;3'!J267</f>
        <v>-172.800155293118</v>
      </c>
      <c r="F91" s="257">
        <f>'Scenario 2&amp;3'!J281</f>
        <v>-49.1784760722797</v>
      </c>
      <c r="G91" s="257">
        <f>'Scenario 2&amp;3'!J295</f>
        <v>74.443203148558197</v>
      </c>
      <c r="H91" s="257">
        <f>'Scenario 2&amp;3'!J309</f>
        <v>198.064882369397</v>
      </c>
      <c r="I91" s="257">
        <f>'Scenario 2&amp;3'!J323</f>
        <v>321.68656159023601</v>
      </c>
      <c r="J91" s="257">
        <f>'Scenario 2&amp;3'!J337</f>
        <v>692.55159925275302</v>
      </c>
      <c r="K91" s="257">
        <f>'Scenario 2&amp;3'!J351</f>
        <v>1243.3523030492499</v>
      </c>
      <c r="L91" s="257">
        <f>'Scenario 2&amp;3'!J365</f>
        <v>1861.4606991534499</v>
      </c>
      <c r="M91" s="257">
        <f>'Scenario 2&amp;3'!J379</f>
        <v>2479.5690952576401</v>
      </c>
      <c r="N91" s="257">
        <f>'Scenario 2&amp;3'!J393</f>
        <v>3030.36979905415</v>
      </c>
      <c r="O91" s="257">
        <f>'Scenario 2&amp;3'!J407</f>
        <v>3648.47819515834</v>
      </c>
      <c r="P91" s="257">
        <f>'Scenario 2&amp;3'!J421</f>
        <v>4266.5865912625304</v>
      </c>
      <c r="Q91" s="257">
        <f>'Scenario 2&amp;3'!J435</f>
        <v>4817.3872950590303</v>
      </c>
      <c r="BD91" s="267"/>
    </row>
    <row r="92" spans="1:56" ht="18">
      <c r="A92" s="164" t="s">
        <v>21</v>
      </c>
      <c r="B92" s="257">
        <f>'Scenario 2&amp;3'!P225</f>
        <v>-169623.54020215801</v>
      </c>
      <c r="C92" s="257">
        <f>'Scenario 2&amp;3'!P239</f>
        <v>-131053.576285256</v>
      </c>
      <c r="D92" s="257">
        <f>'Scenario 2&amp;3'!P253</f>
        <v>-92483.612368354501</v>
      </c>
      <c r="E92" s="257">
        <f>'Scenario 2&amp;3'!P267</f>
        <v>-53913.648451453199</v>
      </c>
      <c r="F92" s="257">
        <f>'Scenario 2&amp;3'!P281</f>
        <v>-15343.684534551299</v>
      </c>
      <c r="G92" s="257">
        <f>'Scenario 2&amp;3'!P295</f>
        <v>23226.2793823504</v>
      </c>
      <c r="H92" s="257">
        <f>'Scenario 2&amp;3'!P309</f>
        <v>61796.243299252201</v>
      </c>
      <c r="I92" s="257">
        <f>'Scenario 2&amp;3'!P323</f>
        <v>100366.207216154</v>
      </c>
      <c r="J92" s="257">
        <f>'Scenario 2&amp;3'!P337</f>
        <v>216076.09896685899</v>
      </c>
      <c r="K92" s="257">
        <f>'Scenario 2&amp;3'!P351</f>
        <v>387925.918551368</v>
      </c>
      <c r="L92" s="257">
        <f>'Scenario 2&amp;3'!P365</f>
        <v>580775.73813587602</v>
      </c>
      <c r="M92" s="257">
        <f>'Scenario 2&amp;3'!P379</f>
        <v>773625.55772038596</v>
      </c>
      <c r="N92" s="257">
        <f>'Scenario 2&amp;3'!P393</f>
        <v>945475.37730489206</v>
      </c>
      <c r="O92" s="257">
        <f>'Scenario 2&amp;3'!P407</f>
        <v>1138325.1968894</v>
      </c>
      <c r="P92" s="257">
        <f>'Scenario 2&amp;3'!P421</f>
        <v>1331175.0164739101</v>
      </c>
      <c r="Q92" s="257">
        <f>'Scenario 2&amp;3'!P435</f>
        <v>1503024.8360584199</v>
      </c>
      <c r="BD92" s="267"/>
    </row>
    <row r="93" spans="1:56" ht="18">
      <c r="A93" s="250"/>
      <c r="B93" s="263"/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BD93" s="267"/>
    </row>
    <row r="94" spans="1:56" ht="18">
      <c r="A94" s="250"/>
      <c r="B94" s="263"/>
      <c r="C94" s="263"/>
      <c r="D94" s="263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BD94" s="267"/>
    </row>
    <row r="95" spans="1:56">
      <c r="A95" s="253" t="s">
        <v>14</v>
      </c>
      <c r="B95" s="253">
        <v>5</v>
      </c>
      <c r="C95" s="253">
        <v>6</v>
      </c>
      <c r="D95" s="253">
        <v>7</v>
      </c>
      <c r="E95" s="253">
        <v>8</v>
      </c>
      <c r="F95" s="253">
        <v>9</v>
      </c>
      <c r="G95" s="253">
        <v>10</v>
      </c>
      <c r="H95" s="253">
        <v>11</v>
      </c>
      <c r="I95" s="253">
        <v>12</v>
      </c>
      <c r="J95" s="253">
        <v>15</v>
      </c>
      <c r="K95" s="253">
        <v>20</v>
      </c>
      <c r="L95" s="253">
        <v>25</v>
      </c>
      <c r="M95" s="253">
        <v>30</v>
      </c>
      <c r="N95" s="253">
        <v>35</v>
      </c>
      <c r="O95" s="253">
        <v>40</v>
      </c>
      <c r="P95" s="253">
        <v>45</v>
      </c>
      <c r="Q95" s="253">
        <v>50</v>
      </c>
      <c r="BD95" s="267"/>
    </row>
    <row r="96" spans="1:56">
      <c r="A96" s="253" t="s">
        <v>3</v>
      </c>
      <c r="B96" s="259">
        <f>B77</f>
        <v>-19.171540663084802</v>
      </c>
      <c r="C96" s="259">
        <f>C77</f>
        <v>0.191352487912331</v>
      </c>
      <c r="D96" s="259">
        <f>D77</f>
        <v>14.021990452910201</v>
      </c>
      <c r="E96" s="259">
        <f>E77</f>
        <v>24.394968926658802</v>
      </c>
      <c r="F96" s="259">
        <f>F77</f>
        <v>32.462841072907601</v>
      </c>
      <c r="G96" s="259">
        <f>G77</f>
        <v>38.917138789906602</v>
      </c>
      <c r="H96" s="259">
        <f>H77</f>
        <v>44.197927831087704</v>
      </c>
      <c r="I96" s="259">
        <f>I77</f>
        <v>48.598585365405199</v>
      </c>
      <c r="J96" s="259">
        <f>J77</f>
        <v>58.280031940903797</v>
      </c>
      <c r="K96" s="259">
        <f>K77</f>
        <v>66.278786208710102</v>
      </c>
      <c r="L96" s="259">
        <f>L77</f>
        <v>72.424192615547696</v>
      </c>
      <c r="M96" s="259">
        <f>M77</f>
        <v>76.521130220106102</v>
      </c>
      <c r="N96" s="259">
        <f>N77</f>
        <v>78.485975761823596</v>
      </c>
      <c r="O96" s="259">
        <f>O77</f>
        <v>80.800956071957899</v>
      </c>
      <c r="P96" s="259">
        <f>P77</f>
        <v>82.601496313173499</v>
      </c>
      <c r="Q96" s="259">
        <f>Q77</f>
        <v>83.368851583069002</v>
      </c>
      <c r="BD96" s="267"/>
    </row>
    <row r="97" spans="1:56">
      <c r="A97" s="253" t="s">
        <v>4</v>
      </c>
      <c r="B97" s="259">
        <f>B84</f>
        <v>16.5681345277983</v>
      </c>
      <c r="C97" s="259">
        <f t="shared" ref="C97:Q97" si="0">C84</f>
        <v>29.476729961796501</v>
      </c>
      <c r="D97" s="259">
        <f t="shared" si="0"/>
        <v>38.697155271795097</v>
      </c>
      <c r="E97" s="259">
        <f t="shared" si="0"/>
        <v>45.612474254294099</v>
      </c>
      <c r="F97" s="259">
        <f t="shared" si="0"/>
        <v>50.991055685126597</v>
      </c>
      <c r="G97" s="259">
        <f t="shared" si="0"/>
        <v>55.293920829792697</v>
      </c>
      <c r="H97" s="259">
        <f t="shared" si="0"/>
        <v>56.774819817619701</v>
      </c>
      <c r="I97" s="259">
        <f t="shared" si="0"/>
        <v>59.8785604271336</v>
      </c>
      <c r="J97" s="259">
        <f t="shared" si="0"/>
        <v>66.706789768064297</v>
      </c>
      <c r="K97" s="259">
        <f t="shared" si="0"/>
        <v>73.535019108994902</v>
      </c>
      <c r="L97" s="259">
        <f t="shared" si="0"/>
        <v>76.734520816117495</v>
      </c>
      <c r="M97" s="259">
        <f t="shared" si="0"/>
        <v>79.615385202062399</v>
      </c>
      <c r="N97" s="259">
        <f t="shared" si="0"/>
        <v>81.032119836711701</v>
      </c>
      <c r="O97" s="259">
        <f t="shared" si="0"/>
        <v>82.655568248596097</v>
      </c>
      <c r="P97" s="259">
        <f t="shared" si="0"/>
        <v>83.419674848152894</v>
      </c>
      <c r="Q97" s="259">
        <f t="shared" si="0"/>
        <v>84.479678076516294</v>
      </c>
      <c r="BD97" s="267"/>
    </row>
    <row r="98" spans="1:56">
      <c r="A98" s="254" t="s">
        <v>5</v>
      </c>
      <c r="B98" s="259">
        <f>B90</f>
        <v>-54.366519295563499</v>
      </c>
      <c r="C98" s="259">
        <f>C90</f>
        <v>-35.003626144566297</v>
      </c>
      <c r="D98" s="259">
        <f>D90</f>
        <v>-21.172988179568399</v>
      </c>
      <c r="E98" s="259">
        <f>E90</f>
        <v>-10.8000097058199</v>
      </c>
      <c r="F98" s="259">
        <f>F90</f>
        <v>-2.7321375595710702</v>
      </c>
      <c r="G98" s="259">
        <f>G90</f>
        <v>3.7221601574279601</v>
      </c>
      <c r="H98" s="259">
        <f>H90</f>
        <v>9.0029491986090004</v>
      </c>
      <c r="I98" s="259">
        <f>I90</f>
        <v>13.403606732926599</v>
      </c>
      <c r="J98" s="259">
        <f>J90</f>
        <v>23.085053308425099</v>
      </c>
      <c r="K98" s="259">
        <f>K90</f>
        <v>31.083807576231401</v>
      </c>
      <c r="L98" s="259">
        <f>L90</f>
        <v>37.229213983069002</v>
      </c>
      <c r="M98" s="259">
        <f>M90</f>
        <v>41.3261515876274</v>
      </c>
      <c r="N98" s="259">
        <f>N90</f>
        <v>43.290997129344902</v>
      </c>
      <c r="O98" s="259">
        <f>O90</f>
        <v>45.605977439479197</v>
      </c>
      <c r="P98" s="259">
        <f>P90</f>
        <v>47.406517680694797</v>
      </c>
      <c r="Q98" s="259">
        <f>Q90</f>
        <v>48.173872950590301</v>
      </c>
      <c r="BD98" s="267"/>
    </row>
    <row r="99" spans="1:56">
      <c r="A99" s="252"/>
      <c r="B99" s="265"/>
      <c r="C99" s="265"/>
      <c r="D99" s="265"/>
      <c r="E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BD99" s="267"/>
    </row>
    <row r="100" spans="1:56">
      <c r="A100" s="252"/>
      <c r="B100" s="265"/>
      <c r="C100" s="265"/>
      <c r="D100" s="265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BD100" s="267"/>
    </row>
    <row r="101" spans="1:56">
      <c r="A101" s="252"/>
      <c r="B101" s="265"/>
      <c r="C101" s="265"/>
      <c r="D101" s="265"/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BD101" s="267"/>
    </row>
    <row r="102" spans="1:56">
      <c r="A102" s="252"/>
      <c r="B102" s="265"/>
      <c r="C102" s="265"/>
      <c r="D102" s="265"/>
      <c r="E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BD102" s="267"/>
    </row>
    <row r="103" spans="1:56">
      <c r="A103" s="252"/>
      <c r="B103" s="265"/>
      <c r="C103" s="265"/>
      <c r="D103" s="265"/>
      <c r="E103" s="265"/>
      <c r="F103" s="265"/>
      <c r="G103" s="265"/>
      <c r="H103" s="265"/>
      <c r="I103" s="265"/>
      <c r="J103" s="265"/>
      <c r="K103" s="265"/>
      <c r="L103" s="265"/>
      <c r="M103" s="265"/>
      <c r="N103" s="265"/>
      <c r="O103" s="265"/>
      <c r="P103" s="265"/>
      <c r="Q103" s="265"/>
      <c r="BD103" s="267"/>
    </row>
    <row r="104" spans="1:56">
      <c r="A104" s="252"/>
      <c r="B104" s="265"/>
      <c r="C104" s="265"/>
      <c r="D104" s="265"/>
      <c r="E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BD104" s="267"/>
    </row>
    <row r="105" spans="1:56">
      <c r="A105" s="252"/>
      <c r="B105" s="265"/>
      <c r="C105" s="265"/>
      <c r="D105" s="265"/>
      <c r="E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BD105" s="267"/>
    </row>
    <row r="106" spans="1:56" ht="18">
      <c r="A106" s="246"/>
      <c r="B106" s="166"/>
      <c r="C106" s="184"/>
      <c r="D106" s="166"/>
      <c r="E106" s="166"/>
      <c r="F106" s="166"/>
      <c r="G106" s="166"/>
      <c r="H106" s="166"/>
      <c r="I106" s="166"/>
      <c r="J106" s="166"/>
      <c r="K106" s="178"/>
      <c r="L106" s="166"/>
      <c r="M106" s="178"/>
      <c r="N106" s="166"/>
      <c r="O106" s="178"/>
      <c r="P106" s="166"/>
      <c r="Q106" s="178"/>
      <c r="BD106" s="267"/>
    </row>
    <row r="107" spans="1:56">
      <c r="A107" s="253" t="s">
        <v>54</v>
      </c>
      <c r="B107" s="253">
        <v>5</v>
      </c>
      <c r="C107" s="253">
        <v>6</v>
      </c>
      <c r="D107" s="253">
        <v>7</v>
      </c>
      <c r="E107" s="253">
        <v>8</v>
      </c>
      <c r="F107" s="253">
        <v>9</v>
      </c>
      <c r="G107" s="253">
        <v>10</v>
      </c>
      <c r="H107" s="253">
        <v>11</v>
      </c>
      <c r="I107" s="253">
        <v>12</v>
      </c>
      <c r="J107" s="253">
        <v>15</v>
      </c>
      <c r="K107" s="253">
        <v>20</v>
      </c>
      <c r="L107" s="253">
        <v>25</v>
      </c>
      <c r="M107" s="253">
        <v>30</v>
      </c>
      <c r="N107" s="253">
        <v>35</v>
      </c>
      <c r="O107" s="253">
        <v>40</v>
      </c>
      <c r="P107" s="253">
        <v>45</v>
      </c>
      <c r="Q107" s="253">
        <v>50</v>
      </c>
      <c r="BD107" s="267"/>
    </row>
    <row r="108" spans="1:56">
      <c r="A108" s="253" t="s">
        <v>3</v>
      </c>
      <c r="B108" s="260">
        <f>B78</f>
        <v>-191.715406630849</v>
      </c>
      <c r="C108" s="260">
        <f>C78</f>
        <v>2.2962298549476801</v>
      </c>
      <c r="D108" s="260">
        <f>D78</f>
        <v>196.307866340744</v>
      </c>
      <c r="E108" s="260">
        <f>E78</f>
        <v>390.31950282653997</v>
      </c>
      <c r="F108" s="260">
        <f>F78</f>
        <v>584.33113931233595</v>
      </c>
      <c r="G108" s="260">
        <f>G78</f>
        <v>778.34277579812999</v>
      </c>
      <c r="H108" s="260">
        <f>H78</f>
        <v>972.35441228392597</v>
      </c>
      <c r="I108" s="260">
        <f>I78</f>
        <v>1166.36604876972</v>
      </c>
      <c r="J108" s="260">
        <f>J78</f>
        <v>1748.4009582271101</v>
      </c>
      <c r="K108" s="260">
        <f>K78</f>
        <v>2651.1514483484002</v>
      </c>
      <c r="L108" s="260">
        <f>L78</f>
        <v>3621.20963077738</v>
      </c>
      <c r="M108" s="260">
        <f>M78</f>
        <v>4591.2678132063602</v>
      </c>
      <c r="N108" s="260">
        <f>N78</f>
        <v>5494.0183033276498</v>
      </c>
      <c r="O108" s="260">
        <f>O78</f>
        <v>6464.0764857566301</v>
      </c>
      <c r="P108" s="260">
        <f>P78</f>
        <v>7434.1346681856103</v>
      </c>
      <c r="Q108" s="260">
        <f>Q78</f>
        <v>8336.8851583069008</v>
      </c>
      <c r="BD108" s="267"/>
    </row>
    <row r="109" spans="1:56">
      <c r="A109" s="253" t="s">
        <v>4</v>
      </c>
      <c r="B109" s="260">
        <f>B85</f>
        <v>248.52201791697499</v>
      </c>
      <c r="C109" s="260">
        <f>C85</f>
        <v>530.58113931233595</v>
      </c>
      <c r="D109" s="260">
        <f>D85</f>
        <v>812.64026070769603</v>
      </c>
      <c r="E109" s="260">
        <f>E85</f>
        <v>1094.6993821030601</v>
      </c>
      <c r="F109" s="260">
        <f>F85</f>
        <v>1376.7585034984199</v>
      </c>
      <c r="G109" s="260">
        <f>G85</f>
        <v>1658.81762489378</v>
      </c>
      <c r="H109" s="260">
        <f>H85</f>
        <v>1873.56905398145</v>
      </c>
      <c r="I109" s="260">
        <f>I85</f>
        <v>2155.6281753768098</v>
      </c>
      <c r="J109" s="260">
        <f>J85</f>
        <v>3001.8055395628899</v>
      </c>
      <c r="K109" s="260">
        <f>K85</f>
        <v>4412.1011465396896</v>
      </c>
      <c r="L109" s="260">
        <f>L85</f>
        <v>5755.0890612088097</v>
      </c>
      <c r="M109" s="260">
        <f>M85</f>
        <v>7165.3846681856103</v>
      </c>
      <c r="N109" s="260">
        <f>N85</f>
        <v>8508.3725828547194</v>
      </c>
      <c r="O109" s="260">
        <f>O85</f>
        <v>9918.6681898315292</v>
      </c>
      <c r="P109" s="260">
        <f>P85</f>
        <v>11261.6561045006</v>
      </c>
      <c r="Q109" s="260">
        <f>Q85</f>
        <v>12671.951711477401</v>
      </c>
      <c r="BD109" s="267"/>
    </row>
    <row r="110" spans="1:56">
      <c r="A110" s="254" t="s">
        <v>5</v>
      </c>
      <c r="B110" s="260">
        <f>B91</f>
        <v>-543.66519295563501</v>
      </c>
      <c r="C110" s="260">
        <f>C91</f>
        <v>-420.04351373479602</v>
      </c>
      <c r="D110" s="260">
        <f>D91</f>
        <v>-296.42183451395698</v>
      </c>
      <c r="E110" s="260">
        <f>E91</f>
        <v>-172.800155293118</v>
      </c>
      <c r="F110" s="260">
        <f>F91</f>
        <v>-49.1784760722797</v>
      </c>
      <c r="G110" s="260">
        <f>G91</f>
        <v>74.443203148558197</v>
      </c>
      <c r="H110" s="260">
        <f>H91</f>
        <v>198.064882369397</v>
      </c>
      <c r="I110" s="260">
        <f>I91</f>
        <v>321.68656159023601</v>
      </c>
      <c r="J110" s="260">
        <f>J91</f>
        <v>692.55159925275302</v>
      </c>
      <c r="K110" s="260">
        <f>K91</f>
        <v>1243.3523030492499</v>
      </c>
      <c r="L110" s="260">
        <f>L91</f>
        <v>1861.4606991534499</v>
      </c>
      <c r="M110" s="260">
        <f>M91</f>
        <v>2479.5690952576401</v>
      </c>
      <c r="N110" s="260">
        <f>N91</f>
        <v>3030.36979905415</v>
      </c>
      <c r="O110" s="260">
        <f>O91</f>
        <v>3648.47819515834</v>
      </c>
      <c r="P110" s="260">
        <f>P91</f>
        <v>4266.5865912625304</v>
      </c>
      <c r="Q110" s="260">
        <f>Q91</f>
        <v>4817.3872950590303</v>
      </c>
      <c r="BD110" s="267"/>
    </row>
    <row r="111" spans="1:56">
      <c r="A111" s="252"/>
      <c r="B111" s="266"/>
      <c r="C111" s="266"/>
      <c r="D111" s="266"/>
      <c r="E111" s="266"/>
      <c r="F111" s="266"/>
      <c r="G111" s="266"/>
      <c r="H111" s="266"/>
      <c r="I111" s="266"/>
      <c r="J111" s="266"/>
      <c r="K111" s="266"/>
      <c r="L111" s="266"/>
      <c r="M111" s="266"/>
      <c r="N111" s="266"/>
      <c r="O111" s="266"/>
      <c r="P111" s="266"/>
      <c r="Q111" s="266"/>
      <c r="BD111" s="267"/>
    </row>
    <row r="112" spans="1:56">
      <c r="A112" s="252"/>
      <c r="B112" s="266"/>
      <c r="C112" s="266"/>
      <c r="D112" s="266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BD112" s="267"/>
    </row>
    <row r="113" spans="1:56">
      <c r="A113" s="252"/>
      <c r="B113" s="266"/>
      <c r="C113" s="266"/>
      <c r="D113" s="266"/>
      <c r="E113" s="266"/>
      <c r="F113" s="266"/>
      <c r="G113" s="266"/>
      <c r="H113" s="266"/>
      <c r="I113" s="266"/>
      <c r="J113" s="266"/>
      <c r="K113" s="266"/>
      <c r="L113" s="266"/>
      <c r="M113" s="266"/>
      <c r="N113" s="266"/>
      <c r="O113" s="266"/>
      <c r="P113" s="266"/>
      <c r="Q113" s="266"/>
      <c r="BD113" s="267"/>
    </row>
    <row r="114" spans="1:56">
      <c r="A114" s="252"/>
      <c r="B114" s="266"/>
      <c r="C114" s="266"/>
      <c r="D114" s="266"/>
      <c r="E114" s="266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BD114" s="267"/>
    </row>
    <row r="115" spans="1:56">
      <c r="A115" s="252"/>
      <c r="B115" s="266"/>
      <c r="C115" s="266"/>
      <c r="D115" s="266"/>
      <c r="E115" s="266"/>
      <c r="F115" s="266"/>
      <c r="G115" s="266"/>
      <c r="H115" s="266"/>
      <c r="I115" s="266"/>
      <c r="J115" s="266"/>
      <c r="K115" s="266"/>
      <c r="L115" s="266"/>
      <c r="M115" s="266"/>
      <c r="N115" s="266"/>
      <c r="O115" s="266"/>
      <c r="P115" s="266"/>
      <c r="Q115" s="266"/>
      <c r="BD115" s="267"/>
    </row>
    <row r="116" spans="1:56">
      <c r="A116" s="252"/>
      <c r="B116" s="266"/>
      <c r="C116" s="266"/>
      <c r="D116" s="266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BD116" s="267"/>
    </row>
    <row r="117" spans="1:56">
      <c r="A117" s="252"/>
      <c r="B117" s="266"/>
      <c r="C117" s="266"/>
      <c r="D117" s="266"/>
      <c r="E117" s="266"/>
      <c r="F117" s="266"/>
      <c r="G117" s="266"/>
      <c r="H117" s="266"/>
      <c r="I117" s="266"/>
      <c r="J117" s="266"/>
      <c r="K117" s="266"/>
      <c r="L117" s="266"/>
      <c r="M117" s="266"/>
      <c r="N117" s="266"/>
      <c r="O117" s="266"/>
      <c r="P117" s="266"/>
      <c r="Q117" s="266"/>
      <c r="BD117" s="267"/>
    </row>
    <row r="118" spans="1:56" ht="18">
      <c r="A118" s="246"/>
      <c r="B118" s="166"/>
      <c r="C118" s="184"/>
      <c r="D118" s="166"/>
      <c r="E118" s="166"/>
      <c r="F118" s="166"/>
      <c r="G118" s="166"/>
      <c r="H118" s="166"/>
      <c r="I118" s="166"/>
      <c r="J118" s="166"/>
      <c r="K118" s="178"/>
      <c r="L118" s="166"/>
      <c r="M118" s="178"/>
      <c r="N118" s="166"/>
      <c r="O118" s="178"/>
      <c r="P118" s="166"/>
      <c r="Q118" s="178"/>
      <c r="BD118" s="267"/>
    </row>
    <row r="119" spans="1:56">
      <c r="A119" s="253" t="s">
        <v>21</v>
      </c>
      <c r="B119" s="253">
        <v>5</v>
      </c>
      <c r="C119" s="253">
        <v>6</v>
      </c>
      <c r="D119" s="253">
        <v>7</v>
      </c>
      <c r="E119" s="253">
        <v>8</v>
      </c>
      <c r="F119" s="253">
        <v>9</v>
      </c>
      <c r="G119" s="253">
        <v>10</v>
      </c>
      <c r="H119" s="253">
        <v>11</v>
      </c>
      <c r="I119" s="253">
        <v>12</v>
      </c>
      <c r="J119" s="253">
        <v>15</v>
      </c>
      <c r="K119" s="253">
        <v>20</v>
      </c>
      <c r="L119" s="253">
        <v>25</v>
      </c>
      <c r="M119" s="253">
        <v>30</v>
      </c>
      <c r="N119" s="253">
        <v>35</v>
      </c>
      <c r="O119" s="253">
        <v>40</v>
      </c>
      <c r="P119" s="253">
        <v>45</v>
      </c>
      <c r="Q119" s="253">
        <v>50</v>
      </c>
      <c r="BD119" s="267"/>
    </row>
    <row r="120" spans="1:56">
      <c r="A120" s="253" t="s">
        <v>3</v>
      </c>
      <c r="B120" s="260">
        <f>B79</f>
        <v>-59815.206868824702</v>
      </c>
      <c r="C120" s="260">
        <f>C79</f>
        <v>716.423714743613</v>
      </c>
      <c r="D120" s="260">
        <f>D79</f>
        <v>61248.0542983122</v>
      </c>
      <c r="E120" s="260">
        <f>E79</f>
        <v>121779.68488188001</v>
      </c>
      <c r="F120" s="260">
        <f>F79</f>
        <v>182311.31546544901</v>
      </c>
      <c r="G120" s="260">
        <f>G79</f>
        <v>242842.94604901699</v>
      </c>
      <c r="H120" s="260">
        <f>H79</f>
        <v>303374.57663258602</v>
      </c>
      <c r="I120" s="260">
        <f>I79</f>
        <v>363906.20721615403</v>
      </c>
      <c r="J120" s="260">
        <f>J79</f>
        <v>545501.09896685905</v>
      </c>
      <c r="K120" s="260">
        <f>K79</f>
        <v>827159.25188470096</v>
      </c>
      <c r="L120" s="260">
        <f>L79</f>
        <v>1129817.4048025401</v>
      </c>
      <c r="M120" s="260">
        <f>M79</f>
        <v>1432475.5577203899</v>
      </c>
      <c r="N120" s="260">
        <f>N79</f>
        <v>1714133.71063823</v>
      </c>
      <c r="O120" s="260">
        <f>O79</f>
        <v>2016791.86355607</v>
      </c>
      <c r="P120" s="260">
        <f>P79</f>
        <v>2319450.0164739098</v>
      </c>
      <c r="Q120" s="260">
        <f>Q79</f>
        <v>2601108.1693917499</v>
      </c>
      <c r="BD120" s="267"/>
    </row>
    <row r="121" spans="1:56">
      <c r="A121" s="253" t="s">
        <v>4</v>
      </c>
      <c r="B121" s="260">
        <f>B86</f>
        <v>77538.869590096394</v>
      </c>
      <c r="C121" s="260">
        <f>C86</f>
        <v>165541.31546544901</v>
      </c>
      <c r="D121" s="260">
        <f>D86</f>
        <v>253543.76134080099</v>
      </c>
      <c r="E121" s="260">
        <f>E86</f>
        <v>341546.20721615403</v>
      </c>
      <c r="F121" s="260">
        <f>F86</f>
        <v>429548.65309150598</v>
      </c>
      <c r="G121" s="260">
        <f>G86</f>
        <v>517551.09896685899</v>
      </c>
      <c r="H121" s="260">
        <f>H86</f>
        <v>584553.54484221095</v>
      </c>
      <c r="I121" s="260">
        <f>I86</f>
        <v>672555.99071756401</v>
      </c>
      <c r="J121" s="260">
        <f>J86</f>
        <v>936563.32834362204</v>
      </c>
      <c r="K121" s="260">
        <f>K86</f>
        <v>1376575.5577203899</v>
      </c>
      <c r="L121" s="260">
        <f>L86</f>
        <v>1795587.78709715</v>
      </c>
      <c r="M121" s="260">
        <f>M86</f>
        <v>2235600.0164739098</v>
      </c>
      <c r="N121" s="260">
        <f>N86</f>
        <v>2654612.2458506702</v>
      </c>
      <c r="O121" s="260">
        <f>O86</f>
        <v>3094624.4752274398</v>
      </c>
      <c r="P121" s="260">
        <f>P86</f>
        <v>3513636.7046042001</v>
      </c>
      <c r="Q121" s="260">
        <f>Q86</f>
        <v>3953648.9339809599</v>
      </c>
      <c r="BD121" s="267"/>
    </row>
    <row r="122" spans="1:56">
      <c r="A122" s="254" t="s">
        <v>5</v>
      </c>
      <c r="B122" s="260">
        <f>B92</f>
        <v>-169623.54020215801</v>
      </c>
      <c r="C122" s="260">
        <f>C92</f>
        <v>-131053.576285256</v>
      </c>
      <c r="D122" s="260">
        <f>D92</f>
        <v>-92483.612368354501</v>
      </c>
      <c r="E122" s="260">
        <f>E92</f>
        <v>-53913.648451453199</v>
      </c>
      <c r="F122" s="260">
        <f>F92</f>
        <v>-15343.684534551299</v>
      </c>
      <c r="G122" s="260">
        <f>G92</f>
        <v>23226.2793823504</v>
      </c>
      <c r="H122" s="260">
        <f>H92</f>
        <v>61796.243299252201</v>
      </c>
      <c r="I122" s="260">
        <f>I92</f>
        <v>100366.207216154</v>
      </c>
      <c r="J122" s="260">
        <f>J92</f>
        <v>216076.09896685899</v>
      </c>
      <c r="K122" s="260">
        <f>K92</f>
        <v>387925.918551368</v>
      </c>
      <c r="L122" s="260">
        <f>L92</f>
        <v>580775.73813587602</v>
      </c>
      <c r="M122" s="260">
        <f>M92</f>
        <v>773625.55772038596</v>
      </c>
      <c r="N122" s="260">
        <f>N92</f>
        <v>945475.37730489206</v>
      </c>
      <c r="O122" s="260">
        <f>O92</f>
        <v>1138325.1968894</v>
      </c>
      <c r="P122" s="260">
        <f>P92</f>
        <v>1331175.0164739101</v>
      </c>
      <c r="Q122" s="260">
        <f>Q92</f>
        <v>1503024.8360584199</v>
      </c>
      <c r="BD122" s="267"/>
    </row>
    <row r="123" spans="1:56" ht="18">
      <c r="B123" s="166"/>
      <c r="C123" s="184"/>
      <c r="D123" s="166"/>
      <c r="E123" s="166"/>
      <c r="F123" s="166"/>
      <c r="G123" s="166"/>
      <c r="H123" s="166"/>
      <c r="I123" s="166"/>
      <c r="J123" s="166"/>
      <c r="K123" s="178"/>
      <c r="L123" s="166"/>
      <c r="M123" s="178"/>
      <c r="N123" s="166"/>
      <c r="O123" s="178"/>
      <c r="P123" s="166"/>
      <c r="Q123" s="178"/>
      <c r="BD123" s="267"/>
    </row>
    <row r="124" spans="1:56" ht="18">
      <c r="B124" s="166"/>
      <c r="C124" s="184"/>
      <c r="D124" s="166"/>
      <c r="E124" s="166"/>
      <c r="F124" s="166"/>
      <c r="G124" s="166"/>
      <c r="H124" s="166"/>
      <c r="I124" s="166"/>
      <c r="J124" s="166"/>
      <c r="K124" s="178"/>
      <c r="L124" s="166"/>
      <c r="M124" s="178"/>
      <c r="N124" s="166"/>
      <c r="O124" s="178"/>
      <c r="P124" s="166"/>
      <c r="Q124" s="178"/>
      <c r="BD124" s="267"/>
    </row>
    <row r="125" spans="1:56" ht="18">
      <c r="A125" s="166"/>
      <c r="B125" s="166"/>
      <c r="C125" s="184"/>
      <c r="D125" s="166"/>
      <c r="E125" s="166"/>
      <c r="F125" s="166"/>
      <c r="G125" s="166"/>
      <c r="H125" s="166"/>
      <c r="I125" s="166"/>
      <c r="J125" s="166"/>
      <c r="K125" s="178"/>
      <c r="L125" s="166"/>
      <c r="M125" s="178"/>
      <c r="N125" s="166"/>
      <c r="O125" s="178"/>
      <c r="P125" s="166"/>
      <c r="Q125" s="178"/>
      <c r="BD125" s="267"/>
    </row>
    <row r="126" spans="1:56">
      <c r="BD126" s="267"/>
    </row>
    <row r="127" spans="1:56">
      <c r="BD127" s="267"/>
    </row>
    <row r="128" spans="1:56">
      <c r="BD128" s="267"/>
    </row>
    <row r="129" spans="56:56">
      <c r="BD129" s="267"/>
    </row>
    <row r="130" spans="56:56">
      <c r="BD130" s="267"/>
    </row>
    <row r="131" spans="56:56">
      <c r="BD131" s="267"/>
    </row>
    <row r="132" spans="56:56">
      <c r="BD132" s="267"/>
    </row>
    <row r="133" spans="56:56">
      <c r="BD133" s="267"/>
    </row>
    <row r="134" spans="56:56">
      <c r="BD134" s="267"/>
    </row>
    <row r="135" spans="56:56">
      <c r="BD135" s="267"/>
    </row>
    <row r="136" spans="56:56">
      <c r="BD136" s="267"/>
    </row>
    <row r="137" spans="56:56">
      <c r="BD137" s="267"/>
    </row>
    <row r="138" spans="56:56">
      <c r="BD138" s="267"/>
    </row>
    <row r="139" spans="56:56">
      <c r="BD139" s="267"/>
    </row>
    <row r="140" spans="56:56">
      <c r="BD140" s="267"/>
    </row>
    <row r="141" spans="56:56">
      <c r="BD141" s="267"/>
    </row>
    <row r="142" spans="56:56">
      <c r="BD142" s="267"/>
    </row>
    <row r="143" spans="56:56">
      <c r="BD143" s="267"/>
    </row>
    <row r="144" spans="56:56">
      <c r="BD144" s="267"/>
    </row>
    <row r="145" spans="1:56" ht="18">
      <c r="A145" s="261" t="s">
        <v>453</v>
      </c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  <c r="AA145" s="267"/>
      <c r="AB145" s="267"/>
      <c r="AC145" s="267"/>
      <c r="AD145" s="267"/>
      <c r="AE145" s="267"/>
      <c r="AF145" s="267"/>
      <c r="AG145" s="267"/>
      <c r="AH145" s="267"/>
      <c r="AI145" s="267"/>
      <c r="AJ145" s="267"/>
      <c r="AK145" s="267"/>
      <c r="AL145" s="267"/>
      <c r="AM145" s="267"/>
      <c r="AN145" s="267"/>
      <c r="AO145" s="267"/>
      <c r="AP145" s="267"/>
      <c r="AQ145" s="267"/>
      <c r="AR145" s="267"/>
      <c r="AS145" s="267"/>
      <c r="AT145" s="267"/>
      <c r="AU145" s="267"/>
      <c r="AV145" s="267"/>
      <c r="AW145" s="267"/>
      <c r="AX145" s="267"/>
      <c r="AY145" s="267"/>
      <c r="AZ145" s="267"/>
      <c r="BA145" s="267"/>
      <c r="BB145" s="267"/>
      <c r="BC145" s="267"/>
      <c r="BD145" s="267"/>
    </row>
    <row r="146" spans="1:56" s="163" customFormat="1" ht="18">
      <c r="A146" s="74" t="s">
        <v>3</v>
      </c>
      <c r="B146" s="166" t="s">
        <v>8</v>
      </c>
      <c r="C146" s="166" t="s">
        <v>9</v>
      </c>
      <c r="D146" s="177"/>
      <c r="E146" s="177"/>
      <c r="G146" s="74" t="s">
        <v>3</v>
      </c>
      <c r="H146" s="166" t="s">
        <v>8</v>
      </c>
      <c r="I146" s="166" t="s">
        <v>9</v>
      </c>
      <c r="J146" s="177"/>
      <c r="K146" s="177"/>
      <c r="L146" s="177"/>
      <c r="M146" s="74" t="s">
        <v>3</v>
      </c>
      <c r="N146" s="166" t="s">
        <v>8</v>
      </c>
      <c r="O146" s="166" t="s">
        <v>9</v>
      </c>
      <c r="P146" s="177"/>
      <c r="Q146" s="177"/>
      <c r="R146" s="177"/>
      <c r="S146" s="74" t="s">
        <v>4</v>
      </c>
      <c r="T146" s="166" t="s">
        <v>8</v>
      </c>
      <c r="U146" s="166" t="s">
        <v>9</v>
      </c>
      <c r="V146" s="178"/>
      <c r="W146" s="188"/>
      <c r="X146" s="188"/>
      <c r="Y146" s="74" t="s">
        <v>4</v>
      </c>
      <c r="Z146" s="166" t="s">
        <v>8</v>
      </c>
      <c r="AA146" s="166" t="s">
        <v>9</v>
      </c>
      <c r="AB146" s="188"/>
      <c r="AC146" s="188"/>
      <c r="AD146" s="188"/>
      <c r="AE146" s="74" t="s">
        <v>4</v>
      </c>
      <c r="AF146" s="166" t="s">
        <v>8</v>
      </c>
      <c r="AG146" s="166" t="s">
        <v>9</v>
      </c>
      <c r="AH146" s="188"/>
      <c r="AI146" s="193"/>
      <c r="AM146" s="74" t="s">
        <v>5</v>
      </c>
      <c r="AN146" s="166" t="s">
        <v>8</v>
      </c>
      <c r="AO146" s="166" t="s">
        <v>9</v>
      </c>
      <c r="AP146" s="177"/>
      <c r="AQ146" s="177"/>
      <c r="AR146" s="177"/>
      <c r="AS146" s="74" t="s">
        <v>5</v>
      </c>
      <c r="AT146" s="166" t="s">
        <v>8</v>
      </c>
      <c r="AU146" s="166" t="s">
        <v>9</v>
      </c>
      <c r="AV146" s="177"/>
      <c r="AW146" s="177"/>
      <c r="AX146" s="177"/>
      <c r="AY146" s="74" t="s">
        <v>5</v>
      </c>
      <c r="AZ146" s="166" t="s">
        <v>8</v>
      </c>
      <c r="BA146" s="166" t="s">
        <v>9</v>
      </c>
      <c r="BB146" s="177"/>
      <c r="BD146" s="271"/>
    </row>
    <row r="147" spans="1:56" s="163" customFormat="1" ht="18">
      <c r="A147" s="178" t="s">
        <v>48</v>
      </c>
      <c r="B147" s="179">
        <v>100</v>
      </c>
      <c r="C147" s="179">
        <v>100</v>
      </c>
      <c r="D147" s="177"/>
      <c r="E147" s="177"/>
      <c r="G147" s="178" t="s">
        <v>48</v>
      </c>
      <c r="H147" s="179">
        <v>100</v>
      </c>
      <c r="I147" s="179">
        <v>100</v>
      </c>
      <c r="J147" s="177"/>
      <c r="K147" s="177"/>
      <c r="L147" s="177"/>
      <c r="M147" s="178" t="s">
        <v>48</v>
      </c>
      <c r="N147" s="179">
        <v>100</v>
      </c>
      <c r="O147" s="179">
        <v>100</v>
      </c>
      <c r="P147" s="177"/>
      <c r="Q147" s="177"/>
      <c r="R147" s="177"/>
      <c r="S147" s="178" t="s">
        <v>48</v>
      </c>
      <c r="T147" s="189">
        <v>150</v>
      </c>
      <c r="U147" s="189">
        <v>150</v>
      </c>
      <c r="V147" s="188"/>
      <c r="W147" s="188"/>
      <c r="X147" s="188"/>
      <c r="Y147" s="178" t="s">
        <v>48</v>
      </c>
      <c r="Z147" s="189">
        <v>150</v>
      </c>
      <c r="AA147" s="189">
        <v>150</v>
      </c>
      <c r="AB147" s="188"/>
      <c r="AC147" s="188"/>
      <c r="AD147" s="188"/>
      <c r="AE147" s="178" t="s">
        <v>48</v>
      </c>
      <c r="AF147" s="189">
        <v>150</v>
      </c>
      <c r="AG147" s="189">
        <v>150</v>
      </c>
      <c r="AH147" s="188"/>
      <c r="AI147" s="193"/>
      <c r="AM147" s="178" t="s">
        <v>48</v>
      </c>
      <c r="AN147" s="195">
        <v>100</v>
      </c>
      <c r="AO147" s="195">
        <v>100</v>
      </c>
      <c r="AP147" s="177"/>
      <c r="AQ147" s="177"/>
      <c r="AR147" s="177"/>
      <c r="AS147" s="178" t="s">
        <v>48</v>
      </c>
      <c r="AT147" s="195">
        <v>100</v>
      </c>
      <c r="AU147" s="195">
        <v>100</v>
      </c>
      <c r="AV147" s="177"/>
      <c r="AW147" s="177"/>
      <c r="AX147" s="177"/>
      <c r="AY147" s="178" t="s">
        <v>48</v>
      </c>
      <c r="AZ147" s="195">
        <v>100</v>
      </c>
      <c r="BA147" s="195">
        <v>100</v>
      </c>
      <c r="BB147" s="177"/>
      <c r="BD147" s="271"/>
    </row>
    <row r="148" spans="1:56" s="163" customFormat="1" ht="18">
      <c r="A148" s="165" t="s">
        <v>11</v>
      </c>
      <c r="B148" s="164" t="s">
        <v>12</v>
      </c>
      <c r="C148" s="164" t="s">
        <v>13</v>
      </c>
      <c r="D148" s="164" t="s">
        <v>14</v>
      </c>
      <c r="E148" s="164" t="s">
        <v>15</v>
      </c>
      <c r="F148" s="164" t="s">
        <v>53</v>
      </c>
      <c r="G148" s="165" t="s">
        <v>11</v>
      </c>
      <c r="H148" s="164" t="s">
        <v>16</v>
      </c>
      <c r="I148" s="164" t="s">
        <v>17</v>
      </c>
      <c r="J148" s="164" t="s">
        <v>54</v>
      </c>
      <c r="K148" s="164" t="s">
        <v>15</v>
      </c>
      <c r="L148" s="164"/>
      <c r="M148" s="165" t="s">
        <v>11</v>
      </c>
      <c r="N148" s="164" t="s">
        <v>19</v>
      </c>
      <c r="O148" s="164" t="s">
        <v>20</v>
      </c>
      <c r="P148" s="164" t="s">
        <v>21</v>
      </c>
      <c r="Q148" s="164" t="s">
        <v>15</v>
      </c>
      <c r="S148" s="165" t="s">
        <v>11</v>
      </c>
      <c r="T148" s="164" t="s">
        <v>12</v>
      </c>
      <c r="U148" s="164" t="s">
        <v>13</v>
      </c>
      <c r="V148" s="164" t="s">
        <v>14</v>
      </c>
      <c r="W148" s="164" t="s">
        <v>15</v>
      </c>
      <c r="X148" s="164" t="s">
        <v>53</v>
      </c>
      <c r="Y148" s="165" t="s">
        <v>11</v>
      </c>
      <c r="Z148" s="164" t="s">
        <v>16</v>
      </c>
      <c r="AA148" s="164" t="s">
        <v>17</v>
      </c>
      <c r="AB148" s="164" t="s">
        <v>18</v>
      </c>
      <c r="AC148" s="164" t="s">
        <v>15</v>
      </c>
      <c r="AD148" s="164"/>
      <c r="AE148" s="165" t="s">
        <v>11</v>
      </c>
      <c r="AF148" s="164" t="s">
        <v>19</v>
      </c>
      <c r="AG148" s="164" t="s">
        <v>20</v>
      </c>
      <c r="AH148" s="164" t="s">
        <v>21</v>
      </c>
      <c r="AI148" s="164" t="s">
        <v>15</v>
      </c>
      <c r="AJ148" s="164"/>
      <c r="AM148" s="165" t="s">
        <v>11</v>
      </c>
      <c r="AN148" s="164" t="s">
        <v>12</v>
      </c>
      <c r="AO148" s="164" t="s">
        <v>13</v>
      </c>
      <c r="AP148" s="164" t="s">
        <v>14</v>
      </c>
      <c r="AQ148" s="164" t="s">
        <v>15</v>
      </c>
      <c r="AR148" s="164" t="s">
        <v>53</v>
      </c>
      <c r="AS148" s="165" t="s">
        <v>11</v>
      </c>
      <c r="AT148" s="164" t="s">
        <v>16</v>
      </c>
      <c r="AU148" s="164" t="s">
        <v>17</v>
      </c>
      <c r="AV148" s="164" t="s">
        <v>18</v>
      </c>
      <c r="AW148" s="164" t="s">
        <v>15</v>
      </c>
      <c r="AX148" s="164"/>
      <c r="AY148" s="165" t="s">
        <v>11</v>
      </c>
      <c r="AZ148" s="164" t="s">
        <v>19</v>
      </c>
      <c r="BA148" s="164" t="s">
        <v>20</v>
      </c>
      <c r="BB148" s="164" t="s">
        <v>21</v>
      </c>
      <c r="BC148" s="164" t="s">
        <v>15</v>
      </c>
      <c r="BD148" s="271"/>
    </row>
    <row r="149" spans="1:56" ht="18">
      <c r="A149" s="168" t="s">
        <v>22</v>
      </c>
      <c r="B149" s="180">
        <f>'Scenario 1'!B234</f>
        <v>18.048878205128201</v>
      </c>
      <c r="C149" s="180">
        <f>'Scenario 1'!C234</f>
        <v>37.813165364583298</v>
      </c>
      <c r="D149" s="180">
        <f>'Scenario 1'!D234</f>
        <v>19.764287159455101</v>
      </c>
      <c r="E149" s="183">
        <f>'Scenario 1'!E234</f>
        <v>0.52268269447674498</v>
      </c>
      <c r="F149" s="183">
        <f>D149/$D$155</f>
        <v>0.23707040200454121</v>
      </c>
      <c r="G149" s="168" t="s">
        <v>22</v>
      </c>
      <c r="H149" s="180">
        <f>'Scenario 1'!H234</f>
        <v>1804.8878205128201</v>
      </c>
      <c r="I149" s="180">
        <f>'Scenario 1'!I234</f>
        <v>3781.3165364583301</v>
      </c>
      <c r="J149" s="180">
        <f>'Scenario 1'!J234</f>
        <v>1976.42871594551</v>
      </c>
      <c r="K149" s="183">
        <f>'Scenario 1'!K234</f>
        <v>0.52268269447674498</v>
      </c>
      <c r="M149" s="168" t="s">
        <v>22</v>
      </c>
      <c r="N149" s="180">
        <f>'Scenario 1'!N234</f>
        <v>563125</v>
      </c>
      <c r="O149" s="180">
        <f>'Scenario 1'!O234</f>
        <v>1179770.7593749999</v>
      </c>
      <c r="P149" s="180">
        <f>'Scenario 1'!P234</f>
        <v>616645.75937500002</v>
      </c>
      <c r="Q149" s="183">
        <f>'Scenario 1'!Q234</f>
        <v>0.52268269447674498</v>
      </c>
      <c r="S149" s="168" t="s">
        <v>22</v>
      </c>
      <c r="T149" s="190">
        <f>'Scenario 2&amp;3'!B204</f>
        <v>18.024394586894601</v>
      </c>
      <c r="U149" s="190">
        <f>'Scenario 2&amp;3'!C204</f>
        <v>37.813165364583298</v>
      </c>
      <c r="V149" s="190">
        <f>'Scenario 2&amp;3'!D204</f>
        <v>19.788770777688701</v>
      </c>
      <c r="W149" s="191">
        <f>'Scenario 2&amp;3'!E204</f>
        <v>0.52333018373075302</v>
      </c>
      <c r="X149" s="183">
        <f>V149/$V$155</f>
        <v>0.23424297095172755</v>
      </c>
      <c r="Y149" s="168" t="s">
        <v>22</v>
      </c>
      <c r="Z149" s="190">
        <f>'Scenario 2&amp;3'!H204</f>
        <v>2703.6591880341898</v>
      </c>
      <c r="AA149" s="190">
        <f>'Scenario 2&amp;3'!I204</f>
        <v>5671.9748046875002</v>
      </c>
      <c r="AB149" s="190">
        <f>'Scenario 2&amp;3'!J204</f>
        <v>2968.3156166533099</v>
      </c>
      <c r="AC149" s="191">
        <f>'Scenario 2&amp;3'!K204</f>
        <v>0.52333018373075302</v>
      </c>
      <c r="AD149" s="183"/>
      <c r="AE149" s="168" t="s">
        <v>22</v>
      </c>
      <c r="AF149" s="190">
        <f>'Scenario 2&amp;3'!N204</f>
        <v>843541.66666666698</v>
      </c>
      <c r="AG149" s="190">
        <f>'Scenario 2&amp;3'!O204</f>
        <v>1769656.1390625001</v>
      </c>
      <c r="AH149" s="190">
        <f>'Scenario 2&amp;3'!P204</f>
        <v>926114.472395833</v>
      </c>
      <c r="AI149" s="191">
        <f>'Scenario 2&amp;3'!Q204</f>
        <v>0.52333018373075302</v>
      </c>
      <c r="AJ149" s="183"/>
      <c r="AM149" s="168" t="s">
        <v>22</v>
      </c>
      <c r="AN149" s="196">
        <f>'Scenario 2&amp;3'!B429</f>
        <v>18.048878205128201</v>
      </c>
      <c r="AO149" s="196">
        <f>'Scenario 2&amp;3'!C429</f>
        <v>37.813165364583298</v>
      </c>
      <c r="AP149" s="196">
        <f>'Scenario 2&amp;3'!D429</f>
        <v>19.764287159455101</v>
      </c>
      <c r="AQ149" s="197">
        <f>'Scenario 2&amp;3'!E429</f>
        <v>0.52268269447674498</v>
      </c>
      <c r="AR149" s="183">
        <f>AP149/$AP$155</f>
        <v>0.41026984024569524</v>
      </c>
      <c r="AS149" s="168" t="s">
        <v>22</v>
      </c>
      <c r="AT149" s="196">
        <f>'Scenario 2&amp;3'!H429</f>
        <v>1804.8878205128201</v>
      </c>
      <c r="AU149" s="196">
        <f>'Scenario 2&amp;3'!I429</f>
        <v>3781.3165364583301</v>
      </c>
      <c r="AV149" s="196">
        <f>'Scenario 2&amp;3'!J429</f>
        <v>1976.42871594551</v>
      </c>
      <c r="AW149" s="197">
        <f>'Scenario 2&amp;3'!K429</f>
        <v>0.52268269447674498</v>
      </c>
      <c r="AX149" s="183"/>
      <c r="AY149" s="168" t="s">
        <v>22</v>
      </c>
      <c r="AZ149" s="196">
        <f>'Scenario 2&amp;3'!N429</f>
        <v>563125</v>
      </c>
      <c r="BA149" s="196">
        <f>'Scenario 2&amp;3'!O429</f>
        <v>1179770.7593749999</v>
      </c>
      <c r="BB149" s="196">
        <f>'Scenario 2&amp;3'!P429</f>
        <v>616645.75937500002</v>
      </c>
      <c r="BC149" s="197">
        <f>'Scenario 2&amp;3'!Q429</f>
        <v>0.52268269447674498</v>
      </c>
      <c r="BD149" s="267"/>
    </row>
    <row r="150" spans="1:56" ht="18">
      <c r="A150" s="168" t="s">
        <v>23</v>
      </c>
      <c r="B150" s="180">
        <f>'Scenario 1'!B235</f>
        <v>58.182692307692299</v>
      </c>
      <c r="C150" s="180">
        <f>'Scenario 1'!C235</f>
        <v>58.637820512820497</v>
      </c>
      <c r="D150" s="180">
        <f>'Scenario 1'!D235</f>
        <v>0.455128205128212</v>
      </c>
      <c r="E150" s="183">
        <f>'Scenario 1'!E235</f>
        <v>7.7616835200875599E-3</v>
      </c>
      <c r="F150" s="183">
        <f>D150/$D$155</f>
        <v>5.4592116418290919E-3</v>
      </c>
      <c r="G150" s="168" t="s">
        <v>23</v>
      </c>
      <c r="H150" s="180">
        <f>'Scenario 1'!H235</f>
        <v>5818.2692307692296</v>
      </c>
      <c r="I150" s="180">
        <f>'Scenario 1'!I235</f>
        <v>5863.7820512820499</v>
      </c>
      <c r="J150" s="180">
        <f>'Scenario 1'!J235</f>
        <v>45.5128205128212</v>
      </c>
      <c r="K150" s="183">
        <f>'Scenario 1'!K235</f>
        <v>7.7616835200875799E-3</v>
      </c>
      <c r="M150" s="168" t="s">
        <v>23</v>
      </c>
      <c r="N150" s="180">
        <f>'Scenario 1'!N235</f>
        <v>1815300</v>
      </c>
      <c r="O150" s="180">
        <f>'Scenario 1'!O235</f>
        <v>1829500</v>
      </c>
      <c r="P150" s="180">
        <f>'Scenario 1'!P235</f>
        <v>14200</v>
      </c>
      <c r="Q150" s="183">
        <f>'Scenario 1'!Q235</f>
        <v>7.7616835200874602E-3</v>
      </c>
      <c r="S150" s="168" t="s">
        <v>23</v>
      </c>
      <c r="T150" s="190">
        <f>'Scenario 2&amp;3'!B205</f>
        <v>38.788461538461497</v>
      </c>
      <c r="U150" s="190">
        <f>'Scenario 2&amp;3'!C205</f>
        <v>39.091880341880298</v>
      </c>
      <c r="V150" s="190">
        <f>'Scenario 2&amp;3'!D205</f>
        <v>0.303418803418815</v>
      </c>
      <c r="W150" s="191">
        <f>'Scenario 2&amp;3'!E205</f>
        <v>7.7616835200877404E-3</v>
      </c>
      <c r="X150" s="183">
        <f>V150/$V$155</f>
        <v>3.5916188404979199E-3</v>
      </c>
      <c r="Y150" s="168" t="s">
        <v>23</v>
      </c>
      <c r="Z150" s="190">
        <f>'Scenario 2&amp;3'!H205</f>
        <v>5818.2692307692296</v>
      </c>
      <c r="AA150" s="190">
        <f>'Scenario 2&amp;3'!I205</f>
        <v>5863.7820512820499</v>
      </c>
      <c r="AB150" s="190">
        <f>'Scenario 2&amp;3'!J205</f>
        <v>45.5128205128212</v>
      </c>
      <c r="AC150" s="191">
        <f>'Scenario 2&amp;3'!K205</f>
        <v>7.7616835200875799E-3</v>
      </c>
      <c r="AD150" s="183"/>
      <c r="AE150" s="168" t="s">
        <v>23</v>
      </c>
      <c r="AF150" s="190">
        <f>'Scenario 2&amp;3'!N205</f>
        <v>1815300</v>
      </c>
      <c r="AG150" s="190">
        <v>4</v>
      </c>
      <c r="AH150" s="190">
        <f>'Scenario 2&amp;3'!P205</f>
        <v>14200</v>
      </c>
      <c r="AI150" s="191">
        <f>'Scenario 2&amp;3'!Q205</f>
        <v>7.7616835200874602E-3</v>
      </c>
      <c r="AJ150" s="183"/>
      <c r="AM150" s="168" t="s">
        <v>23</v>
      </c>
      <c r="AN150" s="196">
        <f>'Scenario 2&amp;3'!B430</f>
        <v>58.315705128205103</v>
      </c>
      <c r="AO150" s="196">
        <f>'Scenario 2&amp;3'!C430</f>
        <v>44.492521367521398</v>
      </c>
      <c r="AP150" s="196">
        <f>'Scenario 2&amp;3'!D430</f>
        <v>-13.823183760683801</v>
      </c>
      <c r="AQ150" s="197">
        <f>'Scenario 2&amp;3'!E430</f>
        <v>-0.31068555648937501</v>
      </c>
      <c r="AR150" s="183">
        <f>AP150/$AP$155</f>
        <v>-0.28694358402243464</v>
      </c>
      <c r="AS150" s="168" t="s">
        <v>23</v>
      </c>
      <c r="AT150" s="196">
        <f>'Scenario 2&amp;3'!H430</f>
        <v>5831.57051282051</v>
      </c>
      <c r="AU150" s="196">
        <f>'Scenario 2&amp;3'!I430</f>
        <v>4449.2521367521404</v>
      </c>
      <c r="AV150" s="196">
        <f>'Scenario 2&amp;3'!J430</f>
        <v>-1382.3183760683801</v>
      </c>
      <c r="AW150" s="197">
        <f>'Scenario 2&amp;3'!K430</f>
        <v>-0.31068555648937402</v>
      </c>
      <c r="AX150" s="183"/>
      <c r="AY150" s="168" t="s">
        <v>23</v>
      </c>
      <c r="AZ150" s="196">
        <f>'Scenario 2&amp;3'!N430</f>
        <v>1819450</v>
      </c>
      <c r="BA150" s="196">
        <f>'Scenario 2&amp;3'!O430</f>
        <v>1388166.66666667</v>
      </c>
      <c r="BB150" s="196">
        <f>'Scenario 2&amp;3'!P430</f>
        <v>-431283.33333333302</v>
      </c>
      <c r="BC150" s="197">
        <f>'Scenario 2&amp;3'!Q430</f>
        <v>-0.31068555648937501</v>
      </c>
      <c r="BD150" s="267"/>
    </row>
    <row r="151" spans="1:56" ht="18">
      <c r="A151" s="168" t="s">
        <v>24</v>
      </c>
      <c r="B151" s="180">
        <f>'Scenario 1'!B236</f>
        <v>235.20248161709401</v>
      </c>
      <c r="C151" s="180">
        <f>'Scenario 1'!C236</f>
        <v>296.94835749287802</v>
      </c>
      <c r="D151" s="180">
        <f>'Scenario 1'!D236</f>
        <v>61.745875875783497</v>
      </c>
      <c r="E151" s="183">
        <f>'Scenario 1'!E236</f>
        <v>0.20793472776580199</v>
      </c>
      <c r="F151" s="183">
        <f>D151/$D$155</f>
        <v>0.74063483787178841</v>
      </c>
      <c r="G151" s="168" t="s">
        <v>24</v>
      </c>
      <c r="H151" s="180">
        <f>'Scenario 1'!H236</f>
        <v>23520.248161709402</v>
      </c>
      <c r="I151" s="180">
        <f>'Scenario 1'!I236</f>
        <v>29694.835749287799</v>
      </c>
      <c r="J151" s="180">
        <f>'Scenario 1'!J236</f>
        <v>6174.5875875783504</v>
      </c>
      <c r="K151" s="183">
        <f>'Scenario 1'!K236</f>
        <v>0.20793472776580199</v>
      </c>
      <c r="M151" s="168" t="s">
        <v>24</v>
      </c>
      <c r="N151" s="180">
        <f>'Scenario 1'!N236</f>
        <v>7338317.4264533296</v>
      </c>
      <c r="O151" s="180">
        <f>'Scenario 1'!O236</f>
        <v>9264788.7537777796</v>
      </c>
      <c r="P151" s="180">
        <f>'Scenario 1'!P236</f>
        <v>1926471.32732444</v>
      </c>
      <c r="Q151" s="183">
        <f>'Scenario 1'!Q236</f>
        <v>0.20793472776580199</v>
      </c>
      <c r="S151" s="168" t="s">
        <v>24</v>
      </c>
      <c r="T151" s="190">
        <f>'Scenario 2&amp;3'!B206</f>
        <v>233.94427549401701</v>
      </c>
      <c r="U151" s="190">
        <f>'Scenario 2&amp;3'!C206</f>
        <v>296.94835749287802</v>
      </c>
      <c r="V151" s="190">
        <f>'Scenario 2&amp;3'!D206</f>
        <v>63.0040819988604</v>
      </c>
      <c r="W151" s="191">
        <f>'Scenario 2&amp;3'!E206</f>
        <v>0.212171848771286</v>
      </c>
      <c r="X151" s="183">
        <f>V151/$V$155</f>
        <v>0.74578979742081086</v>
      </c>
      <c r="Y151" s="168" t="s">
        <v>24</v>
      </c>
      <c r="Z151" s="190">
        <f>'Scenario 2&amp;3'!H206</f>
        <v>35091.641324102602</v>
      </c>
      <c r="AA151" s="190">
        <f>'Scenario 2&amp;3'!I206</f>
        <v>44542.253623931603</v>
      </c>
      <c r="AB151" s="190">
        <f>'Scenario 2&amp;3'!J206</f>
        <v>9450.6122998290593</v>
      </c>
      <c r="AC151" s="191">
        <f>'Scenario 2&amp;3'!K206</f>
        <v>0.212171848771285</v>
      </c>
      <c r="AD151" s="183"/>
      <c r="AE151" s="168" t="s">
        <v>24</v>
      </c>
      <c r="AF151" s="190">
        <f>'Scenario 2&amp;3'!N206</f>
        <v>10948592.093119999</v>
      </c>
      <c r="AG151" s="190">
        <f>'Scenario 2&amp;3'!O206</f>
        <v>13897183.130666699</v>
      </c>
      <c r="AH151" s="190">
        <f>'Scenario 2&amp;3'!P206</f>
        <v>2948591.0375466701</v>
      </c>
      <c r="AI151" s="191">
        <f>'Scenario 2&amp;3'!Q206</f>
        <v>0.212171848771285</v>
      </c>
      <c r="AJ151" s="183"/>
      <c r="AM151" s="168" t="s">
        <v>24</v>
      </c>
      <c r="AN151" s="196">
        <f>'Scenario 2&amp;3'!B431</f>
        <v>235.20248161709401</v>
      </c>
      <c r="AO151" s="196">
        <f>'Scenario 2&amp;3'!C431</f>
        <v>276.03169082621099</v>
      </c>
      <c r="AP151" s="196">
        <f>'Scenario 2&amp;3'!D431</f>
        <v>40.829209209116797</v>
      </c>
      <c r="AQ151" s="197">
        <f>'Scenario 2&amp;3'!E431</f>
        <v>0.14791493356037499</v>
      </c>
      <c r="AR151" s="183">
        <f>AP151/$AP$155</f>
        <v>0.84753844165681713</v>
      </c>
      <c r="AS151" s="168" t="s">
        <v>24</v>
      </c>
      <c r="AT151" s="196">
        <f>'Scenario 2&amp;3'!H431</f>
        <v>23520.248161709402</v>
      </c>
      <c r="AU151" s="196">
        <f>'Scenario 2&amp;3'!I431</f>
        <v>27603.169082621102</v>
      </c>
      <c r="AV151" s="196">
        <f>'Scenario 2&amp;3'!J431</f>
        <v>4082.9209209116798</v>
      </c>
      <c r="AW151" s="197">
        <f>'Scenario 2&amp;3'!K431</f>
        <v>0.14791493356037499</v>
      </c>
      <c r="AX151" s="183"/>
      <c r="AY151" s="168" t="s">
        <v>24</v>
      </c>
      <c r="AZ151" s="196">
        <f>'Scenario 2&amp;3'!N431</f>
        <v>7338317.4264533296</v>
      </c>
      <c r="BA151" s="196">
        <f>'Scenario 2&amp;3'!O431</f>
        <v>8612188.7537777796</v>
      </c>
      <c r="BB151" s="196">
        <f>'Scenario 2&amp;3'!P431</f>
        <v>1273871.32732444</v>
      </c>
      <c r="BC151" s="197">
        <f>'Scenario 2&amp;3'!Q431</f>
        <v>0.147914933560374</v>
      </c>
      <c r="BD151" s="267"/>
    </row>
    <row r="152" spans="1:56" ht="18">
      <c r="A152" s="226" t="s">
        <v>449</v>
      </c>
      <c r="B152" s="180">
        <f>'Scenario 1'!B237</f>
        <v>0.67492603550295804</v>
      </c>
      <c r="C152" s="180">
        <f>'Scenario 1'!C237</f>
        <v>2.0019723865877701</v>
      </c>
      <c r="D152" s="180">
        <f>'Scenario 1'!D237</f>
        <v>1.3270463510848101</v>
      </c>
      <c r="E152" s="183">
        <f>'Scenario 1'!E237</f>
        <v>0.66286945812807896</v>
      </c>
      <c r="F152" s="183">
        <f>D152/$D$155</f>
        <v>1.591777175630801E-2</v>
      </c>
      <c r="G152" s="226" t="s">
        <v>449</v>
      </c>
      <c r="H152" s="180">
        <f>'Scenario 1'!H237</f>
        <v>67.492603550295897</v>
      </c>
      <c r="I152" s="180">
        <f>'Scenario 1'!I237</f>
        <v>200.197238658777</v>
      </c>
      <c r="J152" s="180">
        <f>'Scenario 1'!J237</f>
        <v>132.704635108481</v>
      </c>
      <c r="K152" s="183">
        <f>'Scenario 1'!K237</f>
        <v>0.66286945812807896</v>
      </c>
      <c r="M152" s="226" t="s">
        <v>449</v>
      </c>
      <c r="N152" s="180">
        <f>'Scenario 1'!N237</f>
        <v>21057.692307692301</v>
      </c>
      <c r="O152" s="180">
        <f>'Scenario 1'!O237</f>
        <v>62461.538461538497</v>
      </c>
      <c r="P152" s="180">
        <f>'Scenario 1'!P237</f>
        <v>41403.8461538462</v>
      </c>
      <c r="Q152" s="183">
        <f>'Scenario 1'!Q237</f>
        <v>0.66286945812807896</v>
      </c>
      <c r="S152" s="171" t="s">
        <v>25</v>
      </c>
      <c r="T152" s="190">
        <f>'Scenario 2&amp;3'!B207</f>
        <v>0.67492603550295904</v>
      </c>
      <c r="U152" s="190">
        <f>'Scenario 2&amp;3'!C207</f>
        <v>2.0019723865877701</v>
      </c>
      <c r="V152" s="190">
        <f>'Scenario 2&amp;3'!D207</f>
        <v>1.3270463510848101</v>
      </c>
      <c r="W152" s="191">
        <f>'Scenario 2&amp;3'!E207</f>
        <v>0.66286945812807896</v>
      </c>
      <c r="X152" s="183">
        <f>V152/$V$155</f>
        <v>1.5708468371326608E-2</v>
      </c>
      <c r="Y152" s="171" t="s">
        <v>25</v>
      </c>
      <c r="Z152" s="190">
        <f>'Scenario 2&amp;3'!H207</f>
        <v>101.23890532544399</v>
      </c>
      <c r="AA152" s="190">
        <f>'Scenario 2&amp;3'!I207</f>
        <v>300.29585798816601</v>
      </c>
      <c r="AB152" s="190">
        <f>'Scenario 2&amp;3'!J207</f>
        <v>199.05695266272201</v>
      </c>
      <c r="AC152" s="191">
        <f>'Scenario 2&amp;3'!K207</f>
        <v>0.66286945812807896</v>
      </c>
      <c r="AD152" s="183"/>
      <c r="AE152" s="171" t="s">
        <v>25</v>
      </c>
      <c r="AF152" s="190">
        <f>'Scenario 2&amp;3'!N207</f>
        <v>31586.538461538501</v>
      </c>
      <c r="AG152" s="190">
        <f>'Scenario 2&amp;3'!O207</f>
        <v>93692.307692307702</v>
      </c>
      <c r="AH152" s="190">
        <f>'Scenario 2&amp;3'!P207</f>
        <v>62105.769230769198</v>
      </c>
      <c r="AI152" s="191">
        <f>'Scenario 2&amp;3'!Q207</f>
        <v>0.66286945812807896</v>
      </c>
      <c r="AJ152" s="183"/>
      <c r="AM152" s="171" t="s">
        <v>25</v>
      </c>
      <c r="AN152" s="196">
        <f>'Scenario 2&amp;3'!B432</f>
        <v>0.67492603550295804</v>
      </c>
      <c r="AO152" s="196">
        <f>'Scenario 2&amp;3'!C432</f>
        <v>2.0019723865877701</v>
      </c>
      <c r="AP152" s="196">
        <f>'Scenario 2&amp;3'!D432</f>
        <v>1.3270463510848101</v>
      </c>
      <c r="AQ152" s="197">
        <f>'Scenario 2&amp;3'!E432</f>
        <v>0.66286945812807896</v>
      </c>
      <c r="AR152" s="183">
        <f>AP152/$AP$155</f>
        <v>2.7547013968461695E-2</v>
      </c>
      <c r="AS152" s="171" t="s">
        <v>25</v>
      </c>
      <c r="AT152" s="196">
        <f>'Scenario 2&amp;3'!H432</f>
        <v>67.492603550295897</v>
      </c>
      <c r="AU152" s="196">
        <f>'Scenario 2&amp;3'!I432</f>
        <v>200.197238658777</v>
      </c>
      <c r="AV152" s="196">
        <f>'Scenario 2&amp;3'!J432</f>
        <v>132.704635108481</v>
      </c>
      <c r="AW152" s="197">
        <f>'Scenario 2&amp;3'!K432</f>
        <v>0.66286945812807896</v>
      </c>
      <c r="AX152" s="183"/>
      <c r="AY152" s="171" t="s">
        <v>25</v>
      </c>
      <c r="AZ152" s="196">
        <f>'Scenario 2&amp;3'!N432</f>
        <v>21057.692307692301</v>
      </c>
      <c r="BA152" s="196">
        <f>'Scenario 2&amp;3'!O432</f>
        <v>62461.538461538497</v>
      </c>
      <c r="BB152" s="196">
        <f>'Scenario 2&amp;3'!P432</f>
        <v>41403.8461538462</v>
      </c>
      <c r="BC152" s="197">
        <f>'Scenario 2&amp;3'!Q432</f>
        <v>0.66286945812807896</v>
      </c>
      <c r="BD152" s="267"/>
    </row>
    <row r="153" spans="1:56" ht="18">
      <c r="A153" s="226" t="s">
        <v>450</v>
      </c>
      <c r="B153" s="180">
        <f>'Scenario 1'!B238</f>
        <v>5.30849358974359E-3</v>
      </c>
      <c r="C153" s="180">
        <f>'Scenario 1'!C238</f>
        <v>2.13609467455621E-2</v>
      </c>
      <c r="D153" s="180">
        <f>'Scenario 1'!D238</f>
        <v>1.6052453155818502E-2</v>
      </c>
      <c r="E153" s="183">
        <f>'Scenario 1'!E238</f>
        <v>0.751486034164358</v>
      </c>
      <c r="F153" s="183">
        <f>D153/$D$155</f>
        <v>1.9254737052271594E-4</v>
      </c>
      <c r="G153" s="226" t="s">
        <v>450</v>
      </c>
      <c r="H153" s="180">
        <f>'Scenario 1'!H238</f>
        <v>0.53084935897435903</v>
      </c>
      <c r="I153" s="180">
        <f>'Scenario 1'!I238</f>
        <v>2.1360946745562099</v>
      </c>
      <c r="J153" s="180">
        <f>'Scenario 1'!J238</f>
        <v>1.60524531558185</v>
      </c>
      <c r="K153" s="183">
        <f>'Scenario 1'!K238</f>
        <v>0.751486034164358</v>
      </c>
      <c r="M153" s="226" t="s">
        <v>450</v>
      </c>
      <c r="N153" s="180">
        <f>'Scenario 1'!N238</f>
        <v>165.625</v>
      </c>
      <c r="O153" s="180">
        <f>'Scenario 1'!O238</f>
        <v>666.461538461538</v>
      </c>
      <c r="P153" s="180">
        <f>'Scenario 1'!P238</f>
        <v>500.836538461538</v>
      </c>
      <c r="Q153" s="183">
        <f>'Scenario 1'!Q238</f>
        <v>0.751486034164358</v>
      </c>
      <c r="S153" s="171" t="s">
        <v>26</v>
      </c>
      <c r="T153" s="190">
        <f>'Scenario 2&amp;3'!B208</f>
        <v>5.30849358974359E-3</v>
      </c>
      <c r="U153" s="190">
        <f>'Scenario 2&amp;3'!C208</f>
        <v>2.13609467455621E-2</v>
      </c>
      <c r="V153" s="190">
        <f>'Scenario 2&amp;3'!D208</f>
        <v>1.6052453155818502E-2</v>
      </c>
      <c r="W153" s="191">
        <f>'Scenario 2&amp;3'!E208</f>
        <v>0.751486034164358</v>
      </c>
      <c r="X153" s="183">
        <f>V153/$V$155</f>
        <v>1.9001555783959329E-4</v>
      </c>
      <c r="Y153" s="171" t="s">
        <v>26</v>
      </c>
      <c r="Z153" s="190">
        <f>'Scenario 2&amp;3'!H208</f>
        <v>0.79627403846153899</v>
      </c>
      <c r="AA153" s="190">
        <f>'Scenario 2&amp;3'!I208</f>
        <v>3.2041420118343198</v>
      </c>
      <c r="AB153" s="190">
        <f>'Scenario 2&amp;3'!J208</f>
        <v>2.4078679733727801</v>
      </c>
      <c r="AC153" s="191">
        <f>'Scenario 2&amp;3'!K208</f>
        <v>0.751486034164358</v>
      </c>
      <c r="AD153" s="183"/>
      <c r="AE153" s="171" t="s">
        <v>26</v>
      </c>
      <c r="AF153" s="190">
        <f>'Scenario 2&amp;3'!N208</f>
        <v>248.4375</v>
      </c>
      <c r="AG153" s="190">
        <f>'Scenario 2&amp;3'!O208</f>
        <v>999.69230769230796</v>
      </c>
      <c r="AH153" s="190">
        <f>'Scenario 2&amp;3'!P208</f>
        <v>751.25480769230796</v>
      </c>
      <c r="AI153" s="191">
        <f>'Scenario 2&amp;3'!Q208</f>
        <v>0.751486034164358</v>
      </c>
      <c r="AJ153" s="183"/>
      <c r="AM153" s="171" t="s">
        <v>26</v>
      </c>
      <c r="AN153" s="196">
        <f>'Scenario 2&amp;3'!B433</f>
        <v>5.30849358974359E-3</v>
      </c>
      <c r="AO153" s="196">
        <f>'Scenario 2&amp;3'!C433</f>
        <v>2.13609467455621E-2</v>
      </c>
      <c r="AP153" s="196">
        <f>'Scenario 2&amp;3'!D433</f>
        <v>1.6052453155818502E-2</v>
      </c>
      <c r="AQ153" s="197">
        <f>'Scenario 2&amp;3'!E433</f>
        <v>0.751486034164358</v>
      </c>
      <c r="AR153" s="183">
        <f>AP153/$AP$155</f>
        <v>3.3321907026829162E-4</v>
      </c>
      <c r="AS153" s="171" t="s">
        <v>26</v>
      </c>
      <c r="AT153" s="196">
        <f>'Scenario 2&amp;3'!H433</f>
        <v>0.53084935897435903</v>
      </c>
      <c r="AU153" s="196">
        <f>'Scenario 2&amp;3'!I433</f>
        <v>2.1360946745562099</v>
      </c>
      <c r="AV153" s="196">
        <f>'Scenario 2&amp;3'!J433</f>
        <v>1.60524531558185</v>
      </c>
      <c r="AW153" s="197">
        <f>'Scenario 2&amp;3'!K433</f>
        <v>0.751486034164358</v>
      </c>
      <c r="AX153" s="183"/>
      <c r="AY153" s="171" t="s">
        <v>26</v>
      </c>
      <c r="AZ153" s="196">
        <f>'Scenario 2&amp;3'!N433</f>
        <v>165.625</v>
      </c>
      <c r="BA153" s="196">
        <f>'Scenario 2&amp;3'!O433</f>
        <v>666.461538461538</v>
      </c>
      <c r="BB153" s="196">
        <f>'Scenario 2&amp;3'!P433</f>
        <v>500.836538461538</v>
      </c>
      <c r="BC153" s="197">
        <f>'Scenario 2&amp;3'!Q433</f>
        <v>0.751486034164358</v>
      </c>
      <c r="BD153" s="267"/>
    </row>
    <row r="154" spans="1:56" ht="18">
      <c r="A154" s="171" t="s">
        <v>27</v>
      </c>
      <c r="B154" s="180">
        <f>'Scenario 1'!B239</f>
        <v>1.51153846153846E-2</v>
      </c>
      <c r="C154" s="180">
        <f>'Scenario 1'!C239</f>
        <v>7.5576923076923097E-2</v>
      </c>
      <c r="D154" s="180">
        <f>'Scenario 1'!D239</f>
        <v>6.0461538461538497E-2</v>
      </c>
      <c r="E154" s="183">
        <f>'Scenario 1'!E239</f>
        <v>0.8</v>
      </c>
      <c r="F154" s="183">
        <f>D154/$D$155</f>
        <v>7.2522935501029924E-4</v>
      </c>
      <c r="G154" s="171" t="s">
        <v>27</v>
      </c>
      <c r="H154" s="180">
        <f>'Scenario 1'!H239</f>
        <v>1.5115384615384599</v>
      </c>
      <c r="I154" s="180">
        <f>'Scenario 1'!I239</f>
        <v>7.5576923076923102</v>
      </c>
      <c r="J154" s="180">
        <f>'Scenario 1'!J239</f>
        <v>6.0461538461538504</v>
      </c>
      <c r="K154" s="183">
        <f>'Scenario 1'!K239</f>
        <v>0.8</v>
      </c>
      <c r="M154" s="171" t="s">
        <v>27</v>
      </c>
      <c r="N154" s="180">
        <f>'Scenario 1'!N239</f>
        <v>471.6</v>
      </c>
      <c r="O154" s="180">
        <f>'Scenario 1'!O239</f>
        <v>2358</v>
      </c>
      <c r="P154" s="180">
        <f>'Scenario 1'!P239</f>
        <v>1886.4</v>
      </c>
      <c r="Q154" s="183">
        <f>'Scenario 1'!Q239</f>
        <v>0.8</v>
      </c>
      <c r="S154" s="171" t="s">
        <v>27</v>
      </c>
      <c r="T154" s="190">
        <f>'Scenario 2&amp;3'!B209</f>
        <v>1.00769230769231E-2</v>
      </c>
      <c r="U154" s="190">
        <f>'Scenario 2&amp;3'!C209</f>
        <v>5.0384615384615403E-2</v>
      </c>
      <c r="V154" s="190">
        <f>'Scenario 2&amp;3'!D209</f>
        <v>4.0307692307692301E-2</v>
      </c>
      <c r="W154" s="191">
        <f>'Scenario 2&amp;3'!E209</f>
        <v>0.8</v>
      </c>
      <c r="X154" s="183">
        <f>V154/$V$155</f>
        <v>4.7712885779683216E-4</v>
      </c>
      <c r="Y154" s="171" t="s">
        <v>27</v>
      </c>
      <c r="Z154" s="190">
        <f>'Scenario 2&amp;3'!H209</f>
        <v>1.5115384615384599</v>
      </c>
      <c r="AA154" s="190">
        <f>'Scenario 2&amp;3'!I209</f>
        <v>7.5576923076923102</v>
      </c>
      <c r="AB154" s="190">
        <f>'Scenario 2&amp;3'!J209</f>
        <v>6.0461538461538504</v>
      </c>
      <c r="AC154" s="191">
        <f>'Scenario 2&amp;3'!K209</f>
        <v>0.8</v>
      </c>
      <c r="AD154" s="183"/>
      <c r="AE154" s="171" t="s">
        <v>27</v>
      </c>
      <c r="AF154" s="190">
        <f>'Scenario 2&amp;3'!N209</f>
        <v>471.6</v>
      </c>
      <c r="AG154" s="190">
        <f>'Scenario 2&amp;3'!O209</f>
        <v>2358</v>
      </c>
      <c r="AH154" s="190">
        <f>'Scenario 2&amp;3'!P209</f>
        <v>1886.4</v>
      </c>
      <c r="AI154" s="191">
        <f>'Scenario 2&amp;3'!Q209</f>
        <v>0.8</v>
      </c>
      <c r="AJ154" s="183"/>
      <c r="AM154" s="171" t="s">
        <v>27</v>
      </c>
      <c r="AN154" s="196">
        <f>'Scenario 2&amp;3'!B434</f>
        <v>1.51153846153846E-2</v>
      </c>
      <c r="AO154" s="196">
        <f>'Scenario 2&amp;3'!C434</f>
        <v>7.5576923076923097E-2</v>
      </c>
      <c r="AP154" s="196">
        <f>'Scenario 2&amp;3'!D434</f>
        <v>6.0461538461538497E-2</v>
      </c>
      <c r="AQ154" s="197">
        <f>'Scenario 2&amp;3'!E434</f>
        <v>0.8</v>
      </c>
      <c r="AR154" s="183">
        <f>AP154/$AP$155</f>
        <v>1.2550690811916052E-3</v>
      </c>
      <c r="AS154" s="171" t="s">
        <v>27</v>
      </c>
      <c r="AT154" s="196">
        <f>'Scenario 2&amp;3'!H434</f>
        <v>1.5115384615384599</v>
      </c>
      <c r="AU154" s="196">
        <f>'Scenario 2&amp;3'!I434</f>
        <v>7.5576923076923102</v>
      </c>
      <c r="AV154" s="196">
        <f>'Scenario 2&amp;3'!J434</f>
        <v>6.0461538461538504</v>
      </c>
      <c r="AW154" s="197">
        <f>'Scenario 2&amp;3'!K434</f>
        <v>0.8</v>
      </c>
      <c r="AX154" s="183"/>
      <c r="AY154" s="171" t="s">
        <v>27</v>
      </c>
      <c r="AZ154" s="196">
        <f>'Scenario 2&amp;3'!N434</f>
        <v>471.6</v>
      </c>
      <c r="BA154" s="196">
        <f>'Scenario 2&amp;3'!O434</f>
        <v>2358</v>
      </c>
      <c r="BB154" s="196">
        <f>'Scenario 2&amp;3'!P434</f>
        <v>1886.4</v>
      </c>
      <c r="BC154" s="197">
        <f>'Scenario 2&amp;3'!Q434</f>
        <v>0.8</v>
      </c>
      <c r="BD154" s="267"/>
    </row>
    <row r="155" spans="1:56" ht="18">
      <c r="A155" s="164" t="s">
        <v>28</v>
      </c>
      <c r="B155" s="180">
        <f>'Scenario 1'!B240</f>
        <v>312.12940204362297</v>
      </c>
      <c r="C155" s="180">
        <f>'Scenario 1'!C240</f>
        <v>395.49825362669202</v>
      </c>
      <c r="D155" s="180">
        <f>'Scenario 1'!D240</f>
        <v>83.368851583069002</v>
      </c>
      <c r="E155" s="183">
        <f>'Scenario 1'!E240</f>
        <v>0.21079448725394501</v>
      </c>
      <c r="F155" s="183">
        <f>D155/$D$155</f>
        <v>1</v>
      </c>
      <c r="G155" s="164" t="s">
        <v>28</v>
      </c>
      <c r="H155" s="180">
        <f>'Scenario 1'!H240</f>
        <v>31212.940204362301</v>
      </c>
      <c r="I155" s="180">
        <f>'Scenario 1'!I240</f>
        <v>39549.825362669202</v>
      </c>
      <c r="J155" s="180">
        <f>'Scenario 1'!J240</f>
        <v>8336.8851583069008</v>
      </c>
      <c r="K155" s="183">
        <f>'Scenario 1'!K240</f>
        <v>0.21079448725394501</v>
      </c>
      <c r="M155" s="164" t="s">
        <v>28</v>
      </c>
      <c r="N155" s="180">
        <f>'Scenario 1'!N240</f>
        <v>9738437.3437610194</v>
      </c>
      <c r="O155" s="180">
        <f>'Scenario 1'!O240</f>
        <v>12339545.513152801</v>
      </c>
      <c r="P155" s="180">
        <f>'Scenario 1'!P240</f>
        <v>2601108.1693917499</v>
      </c>
      <c r="Q155" s="183">
        <f>'Scenario 1'!Q240</f>
        <v>0.21079448725394401</v>
      </c>
      <c r="S155" s="164" t="s">
        <v>28</v>
      </c>
      <c r="T155" s="190">
        <f>'Scenario 2&amp;3'!B210</f>
        <v>291.44744307154298</v>
      </c>
      <c r="U155" s="190">
        <f>'Scenario 2&amp;3'!C210</f>
        <v>375.92712114805897</v>
      </c>
      <c r="V155" s="190">
        <f>'Scenario 2&amp;3'!D210</f>
        <v>84.479678076516294</v>
      </c>
      <c r="W155" s="191">
        <f>'Scenario 2&amp;3'!E210</f>
        <v>0.22472355231652499</v>
      </c>
      <c r="X155" s="183">
        <f>V155/$V$155</f>
        <v>1</v>
      </c>
      <c r="Y155" s="164" t="s">
        <v>28</v>
      </c>
      <c r="Z155" s="190">
        <f>'Scenario 2&amp;3'!H210</f>
        <v>43717.116460731399</v>
      </c>
      <c r="AA155" s="190">
        <f>'Scenario 2&amp;3'!I210</f>
        <v>56389.068172208899</v>
      </c>
      <c r="AB155" s="190">
        <f>'Scenario 2&amp;3'!J210</f>
        <v>12671.951711477401</v>
      </c>
      <c r="AC155" s="191">
        <f>'Scenario 2&amp;3'!K210</f>
        <v>0.22472355231652399</v>
      </c>
      <c r="AD155" s="183"/>
      <c r="AE155" s="164" t="s">
        <v>28</v>
      </c>
      <c r="AF155" s="190">
        <f>'Scenario 2&amp;3'!N210</f>
        <v>13639740.335748199</v>
      </c>
      <c r="AG155" s="190">
        <f>'Scenario 2&amp;3'!O210</f>
        <v>17593389.269729201</v>
      </c>
      <c r="AH155" s="190">
        <f>'Scenario 2&amp;3'!P210</f>
        <v>3953648.9339809599</v>
      </c>
      <c r="AI155" s="191">
        <f>'Scenario 2&amp;3'!Q210</f>
        <v>0.22472355231652399</v>
      </c>
      <c r="AJ155" s="183"/>
      <c r="AM155" s="164" t="s">
        <v>28</v>
      </c>
      <c r="AN155" s="196">
        <f>'Scenario 2&amp;3'!B435</f>
        <v>312.262414864135</v>
      </c>
      <c r="AO155" s="196">
        <f>'Scenario 2&amp;3'!C435</f>
        <v>360.43628781472597</v>
      </c>
      <c r="AP155" s="196">
        <f>'Scenario 2&amp;3'!D435</f>
        <v>48.173872950590301</v>
      </c>
      <c r="AQ155" s="197">
        <f>'Scenario 2&amp;3'!E435</f>
        <v>0.13365433664479701</v>
      </c>
      <c r="AR155" s="183">
        <f>AP155/$AP$155</f>
        <v>1</v>
      </c>
      <c r="AS155" s="164" t="s">
        <v>28</v>
      </c>
      <c r="AT155" s="196">
        <f>'Scenario 2&amp;3'!H435</f>
        <v>31226.241486413499</v>
      </c>
      <c r="AU155" s="196">
        <f>'Scenario 2&amp;3'!I435</f>
        <v>36043.628781472602</v>
      </c>
      <c r="AV155" s="196">
        <f>'Scenario 2&amp;3'!J435</f>
        <v>4817.3872950590303</v>
      </c>
      <c r="AW155" s="197">
        <f>'Scenario 2&amp;3'!K435</f>
        <v>0.13365433664479701</v>
      </c>
      <c r="AX155" s="183"/>
      <c r="AY155" s="164" t="s">
        <v>28</v>
      </c>
      <c r="AZ155" s="196">
        <f>'Scenario 2&amp;3'!N435</f>
        <v>9742587.3437610194</v>
      </c>
      <c r="BA155" s="196">
        <f>'Scenario 2&amp;3'!O435</f>
        <v>11245612.179819399</v>
      </c>
      <c r="BB155" s="196">
        <f>'Scenario 2&amp;3'!P435</f>
        <v>1503024.8360584199</v>
      </c>
      <c r="BC155" s="197">
        <f>'Scenario 2&amp;3'!Q435</f>
        <v>0.13365433664479701</v>
      </c>
      <c r="BD155" s="267"/>
    </row>
    <row r="156" spans="1:56">
      <c r="BD156" s="267"/>
    </row>
    <row r="157" spans="1:56">
      <c r="BD157" s="267"/>
    </row>
    <row r="158" spans="1:56">
      <c r="BD158" s="267"/>
    </row>
    <row r="159" spans="1:56">
      <c r="BD159" s="267"/>
    </row>
    <row r="160" spans="1:56">
      <c r="BD160" s="267"/>
    </row>
    <row r="161" spans="56:56">
      <c r="BD161" s="267"/>
    </row>
    <row r="162" spans="56:56">
      <c r="BD162" s="267"/>
    </row>
    <row r="163" spans="56:56">
      <c r="BD163" s="267"/>
    </row>
    <row r="164" spans="56:56">
      <c r="BD164" s="267"/>
    </row>
    <row r="165" spans="56:56">
      <c r="BD165" s="267"/>
    </row>
    <row r="166" spans="56:56">
      <c r="BD166" s="267"/>
    </row>
    <row r="167" spans="56:56">
      <c r="BD167" s="267"/>
    </row>
    <row r="168" spans="56:56">
      <c r="BD168" s="267"/>
    </row>
    <row r="169" spans="56:56">
      <c r="BD169" s="267"/>
    </row>
    <row r="170" spans="56:56">
      <c r="BD170" s="267"/>
    </row>
    <row r="171" spans="56:56">
      <c r="BD171" s="267"/>
    </row>
    <row r="172" spans="56:56">
      <c r="BD172" s="267"/>
    </row>
    <row r="173" spans="56:56">
      <c r="BD173" s="267"/>
    </row>
    <row r="174" spans="56:56">
      <c r="BD174" s="267"/>
    </row>
    <row r="175" spans="56:56">
      <c r="BD175" s="267"/>
    </row>
    <row r="176" spans="56:56">
      <c r="BD176" s="267"/>
    </row>
    <row r="177" spans="1:56">
      <c r="BD177" s="267"/>
    </row>
    <row r="178" spans="1:56">
      <c r="BD178" s="267"/>
    </row>
    <row r="179" spans="1:56">
      <c r="BD179" s="267"/>
    </row>
    <row r="180" spans="1:56">
      <c r="BD180" s="267"/>
    </row>
    <row r="181" spans="1:56">
      <c r="BD181" s="267"/>
    </row>
    <row r="182" spans="1:56">
      <c r="BD182" s="267"/>
    </row>
    <row r="183" spans="1:56">
      <c r="BD183" s="267"/>
    </row>
    <row r="184" spans="1:56">
      <c r="BD184" s="267"/>
    </row>
    <row r="185" spans="1:56">
      <c r="BD185" s="267"/>
    </row>
    <row r="186" spans="1:56">
      <c r="BD186" s="267"/>
    </row>
    <row r="187" spans="1:56" ht="18">
      <c r="A187" s="261"/>
      <c r="B187" s="267"/>
      <c r="C187" s="267"/>
      <c r="D187" s="267"/>
      <c r="E187" s="267"/>
      <c r="F187" s="267"/>
      <c r="G187" s="267"/>
      <c r="H187" s="267"/>
      <c r="I187" s="267"/>
      <c r="J187" s="267"/>
      <c r="K187" s="267"/>
      <c r="L187" s="267"/>
      <c r="M187" s="267"/>
      <c r="N187" s="267"/>
      <c r="O187" s="267"/>
      <c r="P187" s="267"/>
      <c r="Q187" s="267"/>
      <c r="R187" s="267"/>
      <c r="S187" s="267"/>
      <c r="T187" s="267"/>
      <c r="U187" s="267"/>
      <c r="V187" s="267"/>
      <c r="W187" s="267"/>
      <c r="X187" s="267"/>
      <c r="Y187" s="267"/>
      <c r="Z187" s="267"/>
      <c r="AA187" s="267"/>
      <c r="AB187" s="267"/>
      <c r="AC187" s="267"/>
      <c r="AD187" s="267"/>
      <c r="AE187" s="267"/>
      <c r="AF187" s="267"/>
      <c r="AG187" s="267"/>
      <c r="AH187" s="267"/>
      <c r="AI187" s="267"/>
      <c r="AJ187" s="267"/>
      <c r="AK187" s="267"/>
      <c r="AL187" s="267"/>
      <c r="AM187" s="267"/>
      <c r="AN187" s="267"/>
      <c r="AO187" s="267"/>
      <c r="AP187" s="267"/>
      <c r="AQ187" s="267"/>
      <c r="AR187" s="267"/>
      <c r="AS187" s="267"/>
      <c r="AT187" s="267"/>
      <c r="AU187" s="267"/>
      <c r="AV187" s="267"/>
      <c r="AW187" s="267"/>
      <c r="AX187" s="267"/>
      <c r="AY187" s="267"/>
      <c r="AZ187" s="267"/>
      <c r="BA187" s="267"/>
      <c r="BB187" s="267"/>
      <c r="BC187" s="267"/>
      <c r="BD187" s="267"/>
    </row>
  </sheetData>
  <phoneticPr fontId="50" type="noConversion"/>
  <pageMargins left="0.7" right="0.7" top="0.75" bottom="0.75" header="0.3" footer="0.3"/>
  <ignoredErrors>
    <ignoredError sqref="F13:F1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121"/>
  <sheetViews>
    <sheetView workbookViewId="0">
      <selection activeCell="A3" sqref="A3:I3"/>
    </sheetView>
  </sheetViews>
  <sheetFormatPr baseColWidth="10" defaultColWidth="10.83203125" defaultRowHeight="18"/>
  <cols>
    <col min="1" max="1" width="22.1640625" style="72" customWidth="1"/>
    <col min="2" max="2" width="14.33203125" style="72" customWidth="1"/>
    <col min="3" max="3" width="9.1640625" style="72" customWidth="1"/>
    <col min="4" max="4" width="13.1640625" style="72" customWidth="1"/>
    <col min="5" max="5" width="16.6640625" style="72" customWidth="1"/>
    <col min="6" max="6" width="8.83203125" style="72" customWidth="1"/>
    <col min="7" max="7" width="10.83203125" style="72"/>
    <col min="8" max="8" width="15.6640625" style="121" customWidth="1"/>
    <col min="9" max="9" width="6.1640625" style="72" customWidth="1"/>
    <col min="10" max="10" width="23.1640625" style="72" customWidth="1"/>
    <col min="11" max="11" width="14.5" style="72" customWidth="1"/>
    <col min="12" max="12" width="7.5" style="72" customWidth="1"/>
    <col min="13" max="13" width="14.5" style="72" customWidth="1"/>
    <col min="14" max="14" width="22" style="72" customWidth="1"/>
    <col min="15" max="15" width="9.6640625" style="72" customWidth="1"/>
    <col min="16" max="16" width="13" style="72" customWidth="1"/>
    <col min="17" max="17" width="17.5" style="121" customWidth="1"/>
    <col min="18" max="18" width="8.1640625" style="72" customWidth="1"/>
    <col min="19" max="16384" width="10.83203125" style="72"/>
  </cols>
  <sheetData>
    <row r="1" spans="1:18" ht="41" customHeight="1">
      <c r="A1" s="231" t="s">
        <v>55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18" ht="33" customHeight="1">
      <c r="A2" s="232" t="s">
        <v>56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18" ht="21">
      <c r="A3" s="227" t="s">
        <v>57</v>
      </c>
      <c r="B3" s="227"/>
      <c r="C3" s="227"/>
      <c r="D3" s="227"/>
      <c r="E3" s="227"/>
      <c r="F3" s="227"/>
      <c r="G3" s="227"/>
      <c r="H3" s="227"/>
      <c r="I3" s="227"/>
      <c r="J3" s="228" t="s">
        <v>58</v>
      </c>
      <c r="K3" s="228"/>
      <c r="L3" s="228"/>
      <c r="M3" s="228"/>
      <c r="N3" s="228"/>
      <c r="O3" s="228"/>
      <c r="P3" s="228"/>
      <c r="Q3" s="228"/>
      <c r="R3" s="228"/>
    </row>
    <row r="4" spans="1:18" ht="21">
      <c r="A4" s="229" t="s">
        <v>59</v>
      </c>
      <c r="B4" s="229"/>
      <c r="C4" s="229"/>
      <c r="D4" s="229"/>
      <c r="E4" s="229"/>
      <c r="F4" s="229"/>
      <c r="G4" s="229"/>
      <c r="H4" s="229"/>
      <c r="I4" s="229"/>
      <c r="J4" s="230" t="s">
        <v>59</v>
      </c>
      <c r="K4" s="230"/>
      <c r="L4" s="230"/>
      <c r="M4" s="230"/>
      <c r="N4" s="230"/>
      <c r="O4" s="230"/>
      <c r="P4" s="230"/>
      <c r="Q4" s="230"/>
      <c r="R4" s="230"/>
    </row>
    <row r="5" spans="1:18" ht="44">
      <c r="A5" s="146" t="s">
        <v>60</v>
      </c>
      <c r="B5" s="147">
        <f>'Scenario 1'!B5</f>
        <v>100</v>
      </c>
      <c r="C5" s="101"/>
      <c r="D5" s="101"/>
      <c r="E5" s="101"/>
      <c r="F5" s="101"/>
      <c r="G5" s="101"/>
      <c r="H5" s="149"/>
      <c r="I5" s="101"/>
      <c r="J5" s="150" t="s">
        <v>60</v>
      </c>
      <c r="K5" s="147">
        <f>'Scenario 1'!B5</f>
        <v>100</v>
      </c>
      <c r="L5" s="107"/>
      <c r="M5" s="107"/>
      <c r="N5" s="107"/>
      <c r="O5" s="107"/>
      <c r="P5" s="107"/>
      <c r="Q5" s="152"/>
      <c r="R5" s="107"/>
    </row>
    <row r="6" spans="1:18" ht="21">
      <c r="A6" s="229" t="s">
        <v>61</v>
      </c>
      <c r="B6" s="229"/>
      <c r="C6" s="229"/>
      <c r="D6" s="229"/>
      <c r="E6" s="229"/>
      <c r="F6" s="229"/>
      <c r="G6" s="229"/>
      <c r="H6" s="229"/>
      <c r="I6" s="229"/>
      <c r="J6" s="230" t="s">
        <v>61</v>
      </c>
      <c r="K6" s="230"/>
      <c r="L6" s="230"/>
      <c r="M6" s="230"/>
      <c r="N6" s="230"/>
      <c r="O6" s="230"/>
      <c r="P6" s="230"/>
      <c r="Q6" s="230"/>
      <c r="R6" s="230"/>
    </row>
    <row r="7" spans="1:18" ht="19">
      <c r="A7" s="148" t="s">
        <v>62</v>
      </c>
      <c r="B7" s="103">
        <v>1.41</v>
      </c>
      <c r="C7" s="102" t="s">
        <v>63</v>
      </c>
      <c r="D7" s="102" t="s">
        <v>64</v>
      </c>
      <c r="E7" s="104">
        <f>B7</f>
        <v>1.41</v>
      </c>
      <c r="F7" s="102" t="s">
        <v>63</v>
      </c>
      <c r="G7" s="102" t="s">
        <v>65</v>
      </c>
      <c r="H7" s="108">
        <f>E7*'Remuneration scales for staff'!$H$3</f>
        <v>2.2596153846153801</v>
      </c>
      <c r="I7" s="102" t="s">
        <v>66</v>
      </c>
      <c r="J7" s="109" t="s">
        <v>62</v>
      </c>
      <c r="K7" s="103">
        <v>2.62</v>
      </c>
      <c r="L7" s="109" t="s">
        <v>63</v>
      </c>
      <c r="M7" s="109" t="s">
        <v>64</v>
      </c>
      <c r="N7" s="104">
        <f>K7</f>
        <v>2.62</v>
      </c>
      <c r="O7" s="109" t="s">
        <v>63</v>
      </c>
      <c r="P7" s="109" t="s">
        <v>65</v>
      </c>
      <c r="Q7" s="108">
        <f>N7*'Remuneration scales for staff'!$H$3</f>
        <v>4.1987179487179498</v>
      </c>
      <c r="R7" s="109" t="s">
        <v>66</v>
      </c>
    </row>
    <row r="8" spans="1:18" ht="19">
      <c r="A8" s="148" t="s">
        <v>67</v>
      </c>
      <c r="B8" s="104">
        <f>B7*$B$5</f>
        <v>141</v>
      </c>
      <c r="C8" s="102" t="s">
        <v>63</v>
      </c>
      <c r="D8" s="102" t="s">
        <v>64</v>
      </c>
      <c r="E8" s="104">
        <f>B8</f>
        <v>141</v>
      </c>
      <c r="F8" s="102" t="s">
        <v>63</v>
      </c>
      <c r="G8" s="102" t="s">
        <v>65</v>
      </c>
      <c r="H8" s="108">
        <f>E8*'Remuneration scales for staff'!$H$3</f>
        <v>225.961538461538</v>
      </c>
      <c r="I8" s="102" t="s">
        <v>66</v>
      </c>
      <c r="J8" s="109" t="s">
        <v>67</v>
      </c>
      <c r="K8" s="104">
        <f>K7*$K$5</f>
        <v>262</v>
      </c>
      <c r="L8" s="109" t="s">
        <v>63</v>
      </c>
      <c r="M8" s="109" t="s">
        <v>64</v>
      </c>
      <c r="N8" s="104">
        <f>K8</f>
        <v>262</v>
      </c>
      <c r="O8" s="109" t="s">
        <v>63</v>
      </c>
      <c r="P8" s="109" t="s">
        <v>65</v>
      </c>
      <c r="Q8" s="108">
        <f>N8*'Remuneration scales for staff'!$H$3</f>
        <v>419.87179487179498</v>
      </c>
      <c r="R8" s="109" t="s">
        <v>66</v>
      </c>
    </row>
    <row r="9" spans="1:18" ht="19">
      <c r="A9" s="148" t="s">
        <v>68</v>
      </c>
      <c r="B9" s="104">
        <f>B8*6*52</f>
        <v>43992</v>
      </c>
      <c r="C9" s="102" t="s">
        <v>63</v>
      </c>
      <c r="D9" s="102" t="s">
        <v>64</v>
      </c>
      <c r="E9" s="104">
        <f>B9</f>
        <v>43992</v>
      </c>
      <c r="F9" s="102" t="s">
        <v>63</v>
      </c>
      <c r="G9" s="102" t="s">
        <v>65</v>
      </c>
      <c r="H9" s="108">
        <f>E9*'Remuneration scales for staff'!$H$3</f>
        <v>70500</v>
      </c>
      <c r="I9" s="102" t="s">
        <v>66</v>
      </c>
      <c r="J9" s="109" t="s">
        <v>68</v>
      </c>
      <c r="K9" s="104">
        <f>K8*6*52</f>
        <v>81744</v>
      </c>
      <c r="L9" s="109" t="s">
        <v>63</v>
      </c>
      <c r="M9" s="109" t="s">
        <v>64</v>
      </c>
      <c r="N9" s="104">
        <f>K9</f>
        <v>81744</v>
      </c>
      <c r="O9" s="109" t="s">
        <v>63</v>
      </c>
      <c r="P9" s="109" t="s">
        <v>65</v>
      </c>
      <c r="Q9" s="108">
        <f>N9*'Remuneration scales for staff'!$H$3</f>
        <v>131000</v>
      </c>
      <c r="R9" s="109" t="s">
        <v>66</v>
      </c>
    </row>
    <row r="10" spans="1:18">
      <c r="A10" s="102"/>
      <c r="B10" s="102"/>
      <c r="C10" s="102"/>
      <c r="D10" s="102"/>
      <c r="E10" s="102"/>
      <c r="F10" s="102"/>
      <c r="G10" s="102"/>
      <c r="H10" s="110"/>
      <c r="I10" s="102"/>
      <c r="J10" s="109"/>
      <c r="K10" s="109"/>
      <c r="L10" s="109"/>
      <c r="M10" s="109"/>
      <c r="N10" s="109"/>
      <c r="O10" s="109"/>
      <c r="P10" s="109"/>
      <c r="Q10" s="112"/>
      <c r="R10" s="109"/>
    </row>
    <row r="11" spans="1:18" ht="21">
      <c r="A11" s="229" t="s">
        <v>69</v>
      </c>
      <c r="B11" s="229"/>
      <c r="C11" s="229"/>
      <c r="D11" s="229"/>
      <c r="E11" s="229"/>
      <c r="F11" s="229"/>
      <c r="G11" s="229"/>
      <c r="H11" s="229"/>
      <c r="I11" s="229"/>
      <c r="J11" s="230" t="s">
        <v>69</v>
      </c>
      <c r="K11" s="230"/>
      <c r="L11" s="230"/>
      <c r="M11" s="230"/>
      <c r="N11" s="230"/>
      <c r="O11" s="230"/>
      <c r="P11" s="230"/>
      <c r="Q11" s="230"/>
      <c r="R11" s="230"/>
    </row>
    <row r="12" spans="1:18" ht="19">
      <c r="A12" s="148" t="s">
        <v>62</v>
      </c>
      <c r="B12" s="103">
        <v>1.1200000000000001</v>
      </c>
      <c r="C12" s="102" t="s">
        <v>63</v>
      </c>
      <c r="D12" s="102" t="s">
        <v>64</v>
      </c>
      <c r="E12" s="104">
        <f>B12</f>
        <v>1.1200000000000001</v>
      </c>
      <c r="F12" s="102" t="s">
        <v>63</v>
      </c>
      <c r="G12" s="102" t="s">
        <v>65</v>
      </c>
      <c r="H12" s="108">
        <f>E12*'Remuneration scales for staff'!$H$3</f>
        <v>1.7948717948718</v>
      </c>
      <c r="I12" s="102" t="s">
        <v>66</v>
      </c>
      <c r="J12" s="109" t="s">
        <v>62</v>
      </c>
      <c r="K12" s="103">
        <v>3.41</v>
      </c>
      <c r="L12" s="109" t="s">
        <v>63</v>
      </c>
      <c r="M12" s="109" t="s">
        <v>64</v>
      </c>
      <c r="N12" s="104">
        <f>K12</f>
        <v>3.41</v>
      </c>
      <c r="O12" s="109" t="s">
        <v>63</v>
      </c>
      <c r="P12" s="109" t="s">
        <v>65</v>
      </c>
      <c r="Q12" s="108">
        <f>N12*'Remuneration scales for staff'!$H$3</f>
        <v>5.4647435897435903</v>
      </c>
      <c r="R12" s="109" t="s">
        <v>66</v>
      </c>
    </row>
    <row r="13" spans="1:18" ht="19">
      <c r="A13" s="148" t="s">
        <v>67</v>
      </c>
      <c r="B13" s="104">
        <f>B12*$B$5</f>
        <v>112</v>
      </c>
      <c r="C13" s="102" t="s">
        <v>63</v>
      </c>
      <c r="D13" s="102" t="s">
        <v>64</v>
      </c>
      <c r="E13" s="104">
        <f t="shared" ref="E13:E14" si="0">B13</f>
        <v>112</v>
      </c>
      <c r="F13" s="102" t="s">
        <v>63</v>
      </c>
      <c r="G13" s="102" t="s">
        <v>65</v>
      </c>
      <c r="H13" s="108">
        <f>E13*'Remuneration scales for staff'!$H$3</f>
        <v>179.48717948717999</v>
      </c>
      <c r="I13" s="102" t="s">
        <v>66</v>
      </c>
      <c r="J13" s="109" t="s">
        <v>67</v>
      </c>
      <c r="K13" s="104">
        <f>K12*$K$5</f>
        <v>341</v>
      </c>
      <c r="L13" s="109" t="s">
        <v>63</v>
      </c>
      <c r="M13" s="109" t="s">
        <v>64</v>
      </c>
      <c r="N13" s="104">
        <f>K13</f>
        <v>341</v>
      </c>
      <c r="O13" s="109" t="s">
        <v>63</v>
      </c>
      <c r="P13" s="109" t="s">
        <v>65</v>
      </c>
      <c r="Q13" s="108">
        <f>N13*'Remuneration scales for staff'!$H$3</f>
        <v>546.47435897435901</v>
      </c>
      <c r="R13" s="109" t="s">
        <v>66</v>
      </c>
    </row>
    <row r="14" spans="1:18" ht="19">
      <c r="A14" s="148" t="s">
        <v>68</v>
      </c>
      <c r="B14" s="104">
        <f>B13*6*52</f>
        <v>34944</v>
      </c>
      <c r="C14" s="102" t="s">
        <v>63</v>
      </c>
      <c r="D14" s="102" t="s">
        <v>64</v>
      </c>
      <c r="E14" s="104">
        <f t="shared" si="0"/>
        <v>34944</v>
      </c>
      <c r="F14" s="102" t="s">
        <v>63</v>
      </c>
      <c r="G14" s="102" t="s">
        <v>65</v>
      </c>
      <c r="H14" s="108">
        <f>E14*'Remuneration scales for staff'!$H$3</f>
        <v>56000</v>
      </c>
      <c r="I14" s="102" t="s">
        <v>66</v>
      </c>
      <c r="J14" s="109" t="s">
        <v>68</v>
      </c>
      <c r="K14" s="104">
        <f>K13*6*52</f>
        <v>106392</v>
      </c>
      <c r="L14" s="109" t="s">
        <v>63</v>
      </c>
      <c r="M14" s="109" t="s">
        <v>64</v>
      </c>
      <c r="N14" s="104">
        <f>K14</f>
        <v>106392</v>
      </c>
      <c r="O14" s="109" t="s">
        <v>63</v>
      </c>
      <c r="P14" s="109" t="s">
        <v>65</v>
      </c>
      <c r="Q14" s="108">
        <f>N14*'Remuneration scales for staff'!$H$3</f>
        <v>170500</v>
      </c>
      <c r="R14" s="109" t="s">
        <v>66</v>
      </c>
    </row>
    <row r="15" spans="1:18">
      <c r="A15" s="102"/>
      <c r="B15" s="102"/>
      <c r="C15" s="102"/>
      <c r="D15" s="102"/>
      <c r="E15" s="102"/>
      <c r="F15" s="102"/>
      <c r="G15" s="102"/>
      <c r="H15" s="110"/>
      <c r="I15" s="102"/>
      <c r="J15" s="109"/>
      <c r="K15" s="109"/>
      <c r="L15" s="109"/>
      <c r="M15" s="109"/>
      <c r="N15" s="109"/>
      <c r="O15" s="109"/>
      <c r="P15" s="109"/>
      <c r="Q15" s="112"/>
      <c r="R15" s="109"/>
    </row>
    <row r="16" spans="1:18">
      <c r="A16" s="102"/>
      <c r="B16" s="102"/>
      <c r="C16" s="102"/>
      <c r="D16" s="102" t="s">
        <v>64</v>
      </c>
      <c r="E16" s="104">
        <f>E7+E12</f>
        <v>2.5299999999999998</v>
      </c>
      <c r="F16" s="102" t="s">
        <v>63</v>
      </c>
      <c r="G16" s="102" t="s">
        <v>65</v>
      </c>
      <c r="H16" s="108">
        <f>H7+H12</f>
        <v>4.0544871794871797</v>
      </c>
      <c r="I16" s="102" t="s">
        <v>66</v>
      </c>
      <c r="J16" s="109"/>
      <c r="K16" s="109"/>
      <c r="L16" s="109"/>
      <c r="M16" s="109" t="s">
        <v>64</v>
      </c>
      <c r="N16" s="104">
        <f>N7+N12</f>
        <v>6.03</v>
      </c>
      <c r="O16" s="109" t="s">
        <v>63</v>
      </c>
      <c r="P16" s="109" t="s">
        <v>65</v>
      </c>
      <c r="Q16" s="108">
        <f>Q7+Q12</f>
        <v>9.6634615384615401</v>
      </c>
      <c r="R16" s="109" t="s">
        <v>66</v>
      </c>
    </row>
    <row r="17" spans="1:18">
      <c r="A17" s="102"/>
      <c r="B17" s="102"/>
      <c r="C17" s="102"/>
      <c r="D17" s="102" t="s">
        <v>64</v>
      </c>
      <c r="E17" s="104">
        <f>E8+E13</f>
        <v>253</v>
      </c>
      <c r="F17" s="102" t="s">
        <v>63</v>
      </c>
      <c r="G17" s="102" t="s">
        <v>65</v>
      </c>
      <c r="H17" s="108">
        <f>H8+H13</f>
        <v>405.44871794871801</v>
      </c>
      <c r="I17" s="102" t="s">
        <v>66</v>
      </c>
      <c r="J17" s="109"/>
      <c r="K17" s="109"/>
      <c r="L17" s="109"/>
      <c r="M17" s="109" t="s">
        <v>64</v>
      </c>
      <c r="N17" s="104">
        <f>N8+N13</f>
        <v>603</v>
      </c>
      <c r="O17" s="109" t="s">
        <v>63</v>
      </c>
      <c r="P17" s="109" t="s">
        <v>65</v>
      </c>
      <c r="Q17" s="108">
        <f>Q8+Q13</f>
        <v>966.34615384615404</v>
      </c>
      <c r="R17" s="109" t="s">
        <v>66</v>
      </c>
    </row>
    <row r="18" spans="1:18">
      <c r="A18" s="102"/>
      <c r="B18" s="102"/>
      <c r="C18" s="102"/>
      <c r="D18" s="102" t="s">
        <v>64</v>
      </c>
      <c r="E18" s="104">
        <f>E9+E14</f>
        <v>78936</v>
      </c>
      <c r="F18" s="102" t="s">
        <v>63</v>
      </c>
      <c r="G18" s="102" t="s">
        <v>65</v>
      </c>
      <c r="H18" s="108">
        <f>H9+H14</f>
        <v>126500</v>
      </c>
      <c r="I18" s="102" t="s">
        <v>66</v>
      </c>
      <c r="J18" s="109"/>
      <c r="K18" s="109"/>
      <c r="L18" s="109"/>
      <c r="M18" s="109" t="s">
        <v>64</v>
      </c>
      <c r="N18" s="104">
        <f>N9+N14</f>
        <v>188136</v>
      </c>
      <c r="O18" s="109" t="s">
        <v>63</v>
      </c>
      <c r="P18" s="109" t="s">
        <v>65</v>
      </c>
      <c r="Q18" s="108">
        <f>Q9+Q14</f>
        <v>301500</v>
      </c>
      <c r="R18" s="109" t="s">
        <v>66</v>
      </c>
    </row>
    <row r="19" spans="1:18">
      <c r="A19" s="102"/>
      <c r="B19" s="102"/>
      <c r="C19" s="102"/>
      <c r="D19" s="102"/>
      <c r="E19" s="102"/>
      <c r="F19" s="102"/>
      <c r="G19" s="102"/>
      <c r="H19" s="110"/>
      <c r="I19" s="102"/>
      <c r="J19" s="109"/>
      <c r="K19" s="109"/>
      <c r="L19" s="109"/>
      <c r="M19" s="109"/>
      <c r="N19" s="109"/>
      <c r="O19" s="109"/>
      <c r="P19" s="109"/>
      <c r="Q19" s="112"/>
      <c r="R19" s="109"/>
    </row>
    <row r="20" spans="1:18" ht="21">
      <c r="A20" s="229" t="s">
        <v>70</v>
      </c>
      <c r="B20" s="229"/>
      <c r="C20" s="229"/>
      <c r="D20" s="229"/>
      <c r="E20" s="229"/>
      <c r="F20" s="229"/>
      <c r="G20" s="229"/>
      <c r="H20" s="229"/>
      <c r="I20" s="229"/>
      <c r="J20" s="230" t="s">
        <v>70</v>
      </c>
      <c r="K20" s="230"/>
      <c r="L20" s="230"/>
      <c r="M20" s="230"/>
      <c r="N20" s="230"/>
      <c r="O20" s="230"/>
      <c r="P20" s="230"/>
      <c r="Q20" s="230"/>
      <c r="R20" s="230"/>
    </row>
    <row r="21" spans="1:18" ht="21">
      <c r="A21" s="229" t="s">
        <v>71</v>
      </c>
      <c r="B21" s="229"/>
      <c r="C21" s="229"/>
      <c r="D21" s="229"/>
      <c r="E21" s="229"/>
      <c r="F21" s="229"/>
      <c r="G21" s="229"/>
      <c r="H21" s="229"/>
      <c r="I21" s="229"/>
      <c r="J21" s="230" t="s">
        <v>71</v>
      </c>
      <c r="K21" s="230"/>
      <c r="L21" s="230"/>
      <c r="M21" s="230"/>
      <c r="N21" s="230"/>
      <c r="O21" s="230"/>
      <c r="P21" s="230"/>
      <c r="Q21" s="230"/>
      <c r="R21" s="230"/>
    </row>
    <row r="22" spans="1:18" ht="19">
      <c r="A22" s="148" t="s">
        <v>62</v>
      </c>
      <c r="B22" s="103">
        <v>1.0900000000000001</v>
      </c>
      <c r="C22" s="102" t="s">
        <v>63</v>
      </c>
      <c r="D22" s="102" t="s">
        <v>64</v>
      </c>
      <c r="E22" s="104">
        <f>B22</f>
        <v>1.0900000000000001</v>
      </c>
      <c r="F22" s="102" t="s">
        <v>63</v>
      </c>
      <c r="G22" s="102" t="s">
        <v>65</v>
      </c>
      <c r="H22" s="108">
        <f>E22*'Remuneration scales for staff'!$H$3</f>
        <v>1.74679487179487</v>
      </c>
      <c r="I22" s="102" t="s">
        <v>66</v>
      </c>
      <c r="J22" s="109" t="s">
        <v>62</v>
      </c>
      <c r="K22" s="103">
        <v>2.5299999999999998</v>
      </c>
      <c r="L22" s="109" t="s">
        <v>63</v>
      </c>
      <c r="M22" s="109" t="s">
        <v>64</v>
      </c>
      <c r="N22" s="104">
        <f>K22</f>
        <v>2.5299999999999998</v>
      </c>
      <c r="O22" s="109" t="s">
        <v>63</v>
      </c>
      <c r="P22" s="109" t="s">
        <v>65</v>
      </c>
      <c r="Q22" s="108">
        <f>N22*'Remuneration scales for staff'!$H$3</f>
        <v>4.0544871794871797</v>
      </c>
      <c r="R22" s="109" t="s">
        <v>66</v>
      </c>
    </row>
    <row r="23" spans="1:18" ht="19">
      <c r="A23" s="148" t="s">
        <v>67</v>
      </c>
      <c r="B23" s="104">
        <f>B22*$B$5</f>
        <v>109</v>
      </c>
      <c r="C23" s="102" t="s">
        <v>63</v>
      </c>
      <c r="D23" s="102" t="s">
        <v>64</v>
      </c>
      <c r="E23" s="104">
        <f t="shared" ref="E23:E24" si="1">B23</f>
        <v>109</v>
      </c>
      <c r="F23" s="102" t="s">
        <v>63</v>
      </c>
      <c r="G23" s="102" t="s">
        <v>65</v>
      </c>
      <c r="H23" s="108">
        <f>E23*'Remuneration scales for staff'!$H$3</f>
        <v>174.67948717948701</v>
      </c>
      <c r="I23" s="102" t="s">
        <v>66</v>
      </c>
      <c r="J23" s="109" t="s">
        <v>67</v>
      </c>
      <c r="K23" s="104">
        <f>K22*$K$5</f>
        <v>253</v>
      </c>
      <c r="L23" s="109" t="s">
        <v>63</v>
      </c>
      <c r="M23" s="109" t="s">
        <v>64</v>
      </c>
      <c r="N23" s="104">
        <f t="shared" ref="N23:N24" si="2">K23</f>
        <v>253</v>
      </c>
      <c r="O23" s="109" t="s">
        <v>63</v>
      </c>
      <c r="P23" s="109" t="s">
        <v>65</v>
      </c>
      <c r="Q23" s="108">
        <f>N23*'Remuneration scales for staff'!$H$3</f>
        <v>405.44871794871801</v>
      </c>
      <c r="R23" s="109" t="s">
        <v>66</v>
      </c>
    </row>
    <row r="24" spans="1:18" ht="19">
      <c r="A24" s="148" t="s">
        <v>68</v>
      </c>
      <c r="B24" s="104">
        <f>B23*6*52</f>
        <v>34008</v>
      </c>
      <c r="C24" s="102" t="s">
        <v>63</v>
      </c>
      <c r="D24" s="102" t="s">
        <v>64</v>
      </c>
      <c r="E24" s="104">
        <f t="shared" si="1"/>
        <v>34008</v>
      </c>
      <c r="F24" s="102" t="s">
        <v>63</v>
      </c>
      <c r="G24" s="102" t="s">
        <v>65</v>
      </c>
      <c r="H24" s="108">
        <f>E24*'Remuneration scales for staff'!$H$3</f>
        <v>54500</v>
      </c>
      <c r="I24" s="102" t="s">
        <v>66</v>
      </c>
      <c r="J24" s="109" t="s">
        <v>68</v>
      </c>
      <c r="K24" s="104">
        <f>K23*6*52</f>
        <v>78936</v>
      </c>
      <c r="L24" s="109" t="s">
        <v>63</v>
      </c>
      <c r="M24" s="109" t="s">
        <v>64</v>
      </c>
      <c r="N24" s="104">
        <f t="shared" si="2"/>
        <v>78936</v>
      </c>
      <c r="O24" s="109" t="s">
        <v>63</v>
      </c>
      <c r="P24" s="109" t="s">
        <v>65</v>
      </c>
      <c r="Q24" s="108">
        <f>N24*'Remuneration scales for staff'!$H$3</f>
        <v>126500</v>
      </c>
      <c r="R24" s="109" t="s">
        <v>66</v>
      </c>
    </row>
    <row r="25" spans="1:18">
      <c r="A25" s="102"/>
      <c r="B25" s="102"/>
      <c r="C25" s="102"/>
      <c r="D25" s="102"/>
      <c r="E25" s="102"/>
      <c r="F25" s="102"/>
      <c r="G25" s="102"/>
      <c r="H25" s="110"/>
      <c r="I25" s="102"/>
      <c r="J25" s="109"/>
      <c r="K25" s="109"/>
      <c r="L25" s="109"/>
      <c r="M25" s="109"/>
      <c r="N25" s="109"/>
      <c r="O25" s="109"/>
      <c r="P25" s="109"/>
      <c r="Q25" s="112"/>
      <c r="R25" s="109"/>
    </row>
    <row r="26" spans="1:18" ht="21">
      <c r="A26" s="229" t="s">
        <v>72</v>
      </c>
      <c r="B26" s="229"/>
      <c r="C26" s="229"/>
      <c r="D26" s="229"/>
      <c r="E26" s="229"/>
      <c r="F26" s="229"/>
      <c r="G26" s="229"/>
      <c r="H26" s="229"/>
      <c r="I26" s="229"/>
      <c r="J26" s="230" t="s">
        <v>72</v>
      </c>
      <c r="K26" s="230"/>
      <c r="L26" s="230"/>
      <c r="M26" s="230"/>
      <c r="N26" s="230"/>
      <c r="O26" s="230"/>
      <c r="P26" s="230"/>
      <c r="Q26" s="230"/>
      <c r="R26" s="230"/>
    </row>
    <row r="27" spans="1:18" ht="19">
      <c r="A27" s="148" t="s">
        <v>62</v>
      </c>
      <c r="B27" s="103">
        <v>1.32</v>
      </c>
      <c r="C27" s="102" t="s">
        <v>63</v>
      </c>
      <c r="D27" s="102" t="s">
        <v>64</v>
      </c>
      <c r="E27" s="104">
        <f>B27</f>
        <v>1.32</v>
      </c>
      <c r="F27" s="102" t="s">
        <v>63</v>
      </c>
      <c r="G27" s="102" t="s">
        <v>65</v>
      </c>
      <c r="H27" s="108">
        <f>E27*'Remuneration scales for staff'!$H$3</f>
        <v>2.1153846153846199</v>
      </c>
      <c r="I27" s="102" t="s">
        <v>66</v>
      </c>
      <c r="J27" s="109" t="s">
        <v>62</v>
      </c>
      <c r="K27" s="103">
        <v>1.74</v>
      </c>
      <c r="L27" s="109" t="s">
        <v>63</v>
      </c>
      <c r="M27" s="109" t="s">
        <v>64</v>
      </c>
      <c r="N27" s="104">
        <f>K27</f>
        <v>1.74</v>
      </c>
      <c r="O27" s="109" t="s">
        <v>63</v>
      </c>
      <c r="P27" s="109" t="s">
        <v>65</v>
      </c>
      <c r="Q27" s="108">
        <f>N27*'Remuneration scales for staff'!$H$3</f>
        <v>2.7884615384615401</v>
      </c>
      <c r="R27" s="109" t="s">
        <v>66</v>
      </c>
    </row>
    <row r="28" spans="1:18" ht="19">
      <c r="A28" s="148" t="s">
        <v>67</v>
      </c>
      <c r="B28" s="104">
        <f>B27*$B$5</f>
        <v>132</v>
      </c>
      <c r="C28" s="102" t="s">
        <v>63</v>
      </c>
      <c r="D28" s="102" t="s">
        <v>64</v>
      </c>
      <c r="E28" s="104">
        <f t="shared" ref="E28:E29" si="3">B28</f>
        <v>132</v>
      </c>
      <c r="F28" s="102" t="s">
        <v>63</v>
      </c>
      <c r="G28" s="102" t="s">
        <v>65</v>
      </c>
      <c r="H28" s="108">
        <f>E28*'Remuneration scales for staff'!$H$3</f>
        <v>211.538461538462</v>
      </c>
      <c r="I28" s="102" t="s">
        <v>66</v>
      </c>
      <c r="J28" s="109" t="s">
        <v>67</v>
      </c>
      <c r="K28" s="104">
        <f>K27*$K$5</f>
        <v>174</v>
      </c>
      <c r="L28" s="109" t="s">
        <v>63</v>
      </c>
      <c r="M28" s="109" t="s">
        <v>64</v>
      </c>
      <c r="N28" s="151">
        <f>K28</f>
        <v>174</v>
      </c>
      <c r="O28" s="109" t="s">
        <v>63</v>
      </c>
      <c r="P28" s="109" t="s">
        <v>65</v>
      </c>
      <c r="Q28" s="108">
        <f>N28*'Remuneration scales for staff'!$H$3</f>
        <v>278.84615384615398</v>
      </c>
      <c r="R28" s="109" t="s">
        <v>66</v>
      </c>
    </row>
    <row r="29" spans="1:18" ht="19">
      <c r="A29" s="148" t="s">
        <v>68</v>
      </c>
      <c r="B29" s="104">
        <f>B28*6*52</f>
        <v>41184</v>
      </c>
      <c r="C29" s="102" t="s">
        <v>63</v>
      </c>
      <c r="D29" s="102" t="s">
        <v>64</v>
      </c>
      <c r="E29" s="104">
        <f t="shared" si="3"/>
        <v>41184</v>
      </c>
      <c r="F29" s="102" t="s">
        <v>63</v>
      </c>
      <c r="G29" s="102" t="s">
        <v>65</v>
      </c>
      <c r="H29" s="108">
        <f>E29*'Remuneration scales for staff'!$H$3</f>
        <v>66000</v>
      </c>
      <c r="I29" s="102" t="s">
        <v>66</v>
      </c>
      <c r="J29" s="109" t="s">
        <v>68</v>
      </c>
      <c r="K29" s="104">
        <f>K28*6*52</f>
        <v>54288</v>
      </c>
      <c r="L29" s="109" t="s">
        <v>63</v>
      </c>
      <c r="M29" s="109" t="s">
        <v>64</v>
      </c>
      <c r="N29" s="104">
        <f>K29</f>
        <v>54288</v>
      </c>
      <c r="O29" s="109" t="s">
        <v>63</v>
      </c>
      <c r="P29" s="109" t="s">
        <v>65</v>
      </c>
      <c r="Q29" s="108">
        <f>N29*'Remuneration scales for staff'!$H$3</f>
        <v>87000</v>
      </c>
      <c r="R29" s="109" t="s">
        <v>66</v>
      </c>
    </row>
    <row r="30" spans="1:18">
      <c r="A30" s="102"/>
      <c r="B30" s="102"/>
      <c r="C30" s="102"/>
      <c r="D30" s="102"/>
      <c r="E30" s="102"/>
      <c r="F30" s="102"/>
      <c r="G30" s="102"/>
      <c r="H30" s="110"/>
      <c r="I30" s="102"/>
      <c r="J30" s="109"/>
      <c r="K30" s="109"/>
      <c r="L30" s="109"/>
      <c r="M30" s="109"/>
      <c r="N30" s="109"/>
      <c r="O30" s="109"/>
      <c r="P30" s="109"/>
      <c r="Q30" s="112"/>
      <c r="R30" s="109"/>
    </row>
    <row r="31" spans="1:18" ht="21">
      <c r="A31" s="229" t="s">
        <v>73</v>
      </c>
      <c r="B31" s="229"/>
      <c r="C31" s="229"/>
      <c r="D31" s="229"/>
      <c r="E31" s="229"/>
      <c r="F31" s="229"/>
      <c r="G31" s="229"/>
      <c r="H31" s="229"/>
      <c r="I31" s="229"/>
      <c r="J31" s="230" t="s">
        <v>73</v>
      </c>
      <c r="K31" s="230"/>
      <c r="L31" s="230"/>
      <c r="M31" s="230"/>
      <c r="N31" s="230"/>
      <c r="O31" s="230"/>
      <c r="P31" s="230"/>
      <c r="Q31" s="230"/>
      <c r="R31" s="230"/>
    </row>
    <row r="32" spans="1:18" ht="19">
      <c r="A32" s="148" t="s">
        <v>62</v>
      </c>
      <c r="B32" s="103">
        <v>1.21</v>
      </c>
      <c r="C32" s="102" t="s">
        <v>63</v>
      </c>
      <c r="D32" s="102" t="s">
        <v>64</v>
      </c>
      <c r="E32" s="104">
        <f>B32</f>
        <v>1.21</v>
      </c>
      <c r="F32" s="102" t="s">
        <v>63</v>
      </c>
      <c r="G32" s="102" t="s">
        <v>65</v>
      </c>
      <c r="H32" s="108">
        <f>E32*'Remuneration scales for staff'!$H$3</f>
        <v>1.9391025641025601</v>
      </c>
      <c r="I32" s="102" t="s">
        <v>66</v>
      </c>
      <c r="J32" s="109" t="s">
        <v>62</v>
      </c>
      <c r="K32" s="103">
        <v>3.06</v>
      </c>
      <c r="L32" s="109" t="s">
        <v>63</v>
      </c>
      <c r="M32" s="109" t="s">
        <v>64</v>
      </c>
      <c r="N32" s="104">
        <f>K32</f>
        <v>3.06</v>
      </c>
      <c r="O32" s="109" t="s">
        <v>63</v>
      </c>
      <c r="P32" s="109" t="s">
        <v>65</v>
      </c>
      <c r="Q32" s="108">
        <f>N32*'Remuneration scales for staff'!$H$3</f>
        <v>4.9038461538461497</v>
      </c>
      <c r="R32" s="109" t="s">
        <v>66</v>
      </c>
    </row>
    <row r="33" spans="1:18" ht="19">
      <c r="A33" s="148" t="s">
        <v>67</v>
      </c>
      <c r="B33" s="104">
        <f>B32*$B$5</f>
        <v>121</v>
      </c>
      <c r="C33" s="102" t="s">
        <v>63</v>
      </c>
      <c r="D33" s="102" t="s">
        <v>64</v>
      </c>
      <c r="E33" s="104">
        <f t="shared" ref="E33:E34" si="4">B33</f>
        <v>121</v>
      </c>
      <c r="F33" s="102" t="s">
        <v>63</v>
      </c>
      <c r="G33" s="102" t="s">
        <v>65</v>
      </c>
      <c r="H33" s="108">
        <f>E33*'Remuneration scales for staff'!$H$3</f>
        <v>193.91025641025601</v>
      </c>
      <c r="I33" s="102" t="s">
        <v>66</v>
      </c>
      <c r="J33" s="109" t="s">
        <v>67</v>
      </c>
      <c r="K33" s="104">
        <f>K32*$K$5</f>
        <v>306</v>
      </c>
      <c r="L33" s="109" t="s">
        <v>63</v>
      </c>
      <c r="M33" s="109" t="s">
        <v>64</v>
      </c>
      <c r="N33" s="151">
        <f>K33</f>
        <v>306</v>
      </c>
      <c r="O33" s="109" t="s">
        <v>63</v>
      </c>
      <c r="P33" s="109" t="s">
        <v>65</v>
      </c>
      <c r="Q33" s="108">
        <f>N33*'Remuneration scales for staff'!$H$3</f>
        <v>490.38461538461502</v>
      </c>
      <c r="R33" s="109" t="s">
        <v>66</v>
      </c>
    </row>
    <row r="34" spans="1:18" ht="19">
      <c r="A34" s="148" t="s">
        <v>68</v>
      </c>
      <c r="B34" s="104">
        <f>B33*6*52</f>
        <v>37752</v>
      </c>
      <c r="C34" s="102" t="s">
        <v>63</v>
      </c>
      <c r="D34" s="102" t="s">
        <v>64</v>
      </c>
      <c r="E34" s="104">
        <f t="shared" si="4"/>
        <v>37752</v>
      </c>
      <c r="F34" s="102" t="s">
        <v>63</v>
      </c>
      <c r="G34" s="102" t="s">
        <v>65</v>
      </c>
      <c r="H34" s="108">
        <f>E34*'Remuneration scales for staff'!$H$3</f>
        <v>60500</v>
      </c>
      <c r="I34" s="102" t="s">
        <v>66</v>
      </c>
      <c r="J34" s="109" t="s">
        <v>68</v>
      </c>
      <c r="K34" s="104">
        <f>K33*6*52</f>
        <v>95472</v>
      </c>
      <c r="L34" s="109" t="s">
        <v>63</v>
      </c>
      <c r="M34" s="109" t="s">
        <v>64</v>
      </c>
      <c r="N34" s="104">
        <f>K34</f>
        <v>95472</v>
      </c>
      <c r="O34" s="109" t="s">
        <v>63</v>
      </c>
      <c r="P34" s="109" t="s">
        <v>65</v>
      </c>
      <c r="Q34" s="108">
        <f>N34*'Remuneration scales for staff'!$H$3</f>
        <v>153000</v>
      </c>
      <c r="R34" s="109" t="s">
        <v>66</v>
      </c>
    </row>
    <row r="35" spans="1:18">
      <c r="A35" s="102"/>
      <c r="B35" s="102"/>
      <c r="C35" s="102"/>
      <c r="D35" s="102"/>
      <c r="E35" s="102"/>
      <c r="F35" s="102"/>
      <c r="G35" s="102"/>
      <c r="H35" s="110"/>
      <c r="I35" s="102"/>
      <c r="J35" s="109"/>
      <c r="K35" s="109"/>
      <c r="L35" s="109"/>
      <c r="M35" s="109"/>
      <c r="N35" s="109"/>
      <c r="O35" s="109"/>
      <c r="P35" s="109"/>
      <c r="Q35" s="112"/>
      <c r="R35" s="109"/>
    </row>
    <row r="36" spans="1:18" ht="19">
      <c r="A36" s="148" t="s">
        <v>62</v>
      </c>
      <c r="B36" s="102"/>
      <c r="C36" s="102"/>
      <c r="D36" s="102" t="s">
        <v>64</v>
      </c>
      <c r="E36" s="104">
        <f>E22+E27+E32</f>
        <v>3.62</v>
      </c>
      <c r="F36" s="102" t="s">
        <v>63</v>
      </c>
      <c r="G36" s="102" t="s">
        <v>65</v>
      </c>
      <c r="H36" s="108">
        <f>H22+H27+H32</f>
        <v>5.8012820512820502</v>
      </c>
      <c r="I36" s="102" t="s">
        <v>66</v>
      </c>
      <c r="J36" s="109" t="s">
        <v>62</v>
      </c>
      <c r="K36" s="109"/>
      <c r="L36" s="109"/>
      <c r="M36" s="109" t="s">
        <v>64</v>
      </c>
      <c r="N36" s="104">
        <f>N22+N27+N32</f>
        <v>7.33</v>
      </c>
      <c r="O36" s="109" t="s">
        <v>63</v>
      </c>
      <c r="P36" s="109" t="s">
        <v>65</v>
      </c>
      <c r="Q36" s="108">
        <f>Q22+Q27+Q32</f>
        <v>11.746794871794901</v>
      </c>
      <c r="R36" s="109" t="s">
        <v>66</v>
      </c>
    </row>
    <row r="37" spans="1:18" ht="19">
      <c r="A37" s="148" t="s">
        <v>67</v>
      </c>
      <c r="B37" s="102"/>
      <c r="C37" s="102"/>
      <c r="D37" s="102" t="s">
        <v>64</v>
      </c>
      <c r="E37" s="104">
        <f>E23+E28+E33</f>
        <v>362</v>
      </c>
      <c r="F37" s="102" t="s">
        <v>63</v>
      </c>
      <c r="G37" s="102" t="s">
        <v>65</v>
      </c>
      <c r="H37" s="108">
        <f>H23+H28+H33</f>
        <v>580.12820512820497</v>
      </c>
      <c r="I37" s="102" t="s">
        <v>66</v>
      </c>
      <c r="J37" s="109" t="s">
        <v>67</v>
      </c>
      <c r="K37" s="109"/>
      <c r="L37" s="109"/>
      <c r="M37" s="109" t="s">
        <v>64</v>
      </c>
      <c r="N37" s="104">
        <f>N23+N28+N33</f>
        <v>733</v>
      </c>
      <c r="O37" s="109" t="s">
        <v>63</v>
      </c>
      <c r="P37" s="109" t="s">
        <v>65</v>
      </c>
      <c r="Q37" s="108">
        <f t="shared" ref="Q37:Q38" si="5">Q23+Q28+Q33</f>
        <v>1174.67948717949</v>
      </c>
      <c r="R37" s="109" t="s">
        <v>66</v>
      </c>
    </row>
    <row r="38" spans="1:18" ht="19">
      <c r="A38" s="148" t="s">
        <v>68</v>
      </c>
      <c r="B38" s="102"/>
      <c r="C38" s="102"/>
      <c r="D38" s="102" t="s">
        <v>64</v>
      </c>
      <c r="E38" s="104">
        <f>E24+E29+E34</f>
        <v>112944</v>
      </c>
      <c r="F38" s="102" t="s">
        <v>63</v>
      </c>
      <c r="G38" s="102" t="s">
        <v>65</v>
      </c>
      <c r="H38" s="108">
        <f>H24+H29+H34</f>
        <v>181000</v>
      </c>
      <c r="I38" s="102" t="s">
        <v>66</v>
      </c>
      <c r="J38" s="109" t="s">
        <v>68</v>
      </c>
      <c r="K38" s="109"/>
      <c r="L38" s="109"/>
      <c r="M38" s="109" t="s">
        <v>64</v>
      </c>
      <c r="N38" s="151">
        <f>N24+N29+N37</f>
        <v>133957</v>
      </c>
      <c r="O38" s="109" t="s">
        <v>63</v>
      </c>
      <c r="P38" s="109" t="s">
        <v>65</v>
      </c>
      <c r="Q38" s="108">
        <f t="shared" si="5"/>
        <v>366500</v>
      </c>
      <c r="R38" s="109" t="s">
        <v>66</v>
      </c>
    </row>
    <row r="39" spans="1:18">
      <c r="A39" s="102"/>
      <c r="B39" s="102"/>
      <c r="C39" s="102"/>
      <c r="D39" s="102"/>
      <c r="E39" s="102"/>
      <c r="F39" s="102"/>
      <c r="G39" s="102"/>
      <c r="H39" s="110"/>
      <c r="I39" s="102"/>
      <c r="J39" s="109"/>
      <c r="K39" s="109"/>
      <c r="L39" s="109"/>
      <c r="M39" s="109"/>
      <c r="N39" s="109"/>
      <c r="O39" s="109"/>
      <c r="P39" s="109"/>
      <c r="Q39" s="112"/>
      <c r="R39" s="109"/>
    </row>
    <row r="40" spans="1:18" ht="21">
      <c r="A40" s="229" t="s">
        <v>74</v>
      </c>
      <c r="B40" s="229"/>
      <c r="C40" s="229"/>
      <c r="D40" s="229"/>
      <c r="E40" s="229"/>
      <c r="F40" s="229"/>
      <c r="G40" s="229"/>
      <c r="H40" s="229"/>
      <c r="I40" s="229"/>
      <c r="J40" s="230" t="s">
        <v>74</v>
      </c>
      <c r="K40" s="230"/>
      <c r="L40" s="230"/>
      <c r="M40" s="230"/>
      <c r="N40" s="230"/>
      <c r="O40" s="230"/>
      <c r="P40" s="230"/>
      <c r="Q40" s="230"/>
      <c r="R40" s="230"/>
    </row>
    <row r="41" spans="1:18" ht="21">
      <c r="A41" s="229" t="s">
        <v>75</v>
      </c>
      <c r="B41" s="229"/>
      <c r="C41" s="229"/>
      <c r="D41" s="229"/>
      <c r="E41" s="229"/>
      <c r="F41" s="229"/>
      <c r="G41" s="229"/>
      <c r="H41" s="229"/>
      <c r="I41" s="229"/>
      <c r="J41" s="230" t="s">
        <v>75</v>
      </c>
      <c r="K41" s="230"/>
      <c r="L41" s="230"/>
      <c r="M41" s="230"/>
      <c r="N41" s="230"/>
      <c r="O41" s="230"/>
      <c r="P41" s="230"/>
      <c r="Q41" s="230"/>
      <c r="R41" s="230"/>
    </row>
    <row r="42" spans="1:18" ht="19">
      <c r="A42" s="148" t="s">
        <v>62</v>
      </c>
      <c r="B42" s="103">
        <v>1.0900000000000001</v>
      </c>
      <c r="C42" s="102" t="s">
        <v>63</v>
      </c>
      <c r="D42" s="102" t="s">
        <v>64</v>
      </c>
      <c r="E42" s="104">
        <f>B42</f>
        <v>1.0900000000000001</v>
      </c>
      <c r="F42" s="102" t="s">
        <v>63</v>
      </c>
      <c r="G42" s="102" t="s">
        <v>65</v>
      </c>
      <c r="H42" s="108">
        <f>E42*'Remuneration scales for staff'!$H$3</f>
        <v>1.74679487179487</v>
      </c>
      <c r="I42" s="102" t="s">
        <v>66</v>
      </c>
      <c r="J42" s="109" t="s">
        <v>62</v>
      </c>
      <c r="K42" s="103">
        <v>3.74</v>
      </c>
      <c r="L42" s="109" t="s">
        <v>63</v>
      </c>
      <c r="M42" s="109" t="s">
        <v>64</v>
      </c>
      <c r="N42" s="104">
        <f>K42</f>
        <v>3.74</v>
      </c>
      <c r="O42" s="109" t="s">
        <v>63</v>
      </c>
      <c r="P42" s="109" t="s">
        <v>65</v>
      </c>
      <c r="Q42" s="108">
        <f>N42*'Remuneration scales for staff'!$H$3</f>
        <v>5.9935897435897401</v>
      </c>
      <c r="R42" s="109" t="s">
        <v>66</v>
      </c>
    </row>
    <row r="43" spans="1:18" ht="19">
      <c r="A43" s="148" t="s">
        <v>67</v>
      </c>
      <c r="B43" s="104">
        <f>B42*$B$5</f>
        <v>109</v>
      </c>
      <c r="C43" s="102" t="s">
        <v>63</v>
      </c>
      <c r="D43" s="102" t="s">
        <v>64</v>
      </c>
      <c r="E43" s="104">
        <f t="shared" ref="E43:E44" si="6">B43</f>
        <v>109</v>
      </c>
      <c r="F43" s="102" t="s">
        <v>63</v>
      </c>
      <c r="G43" s="102" t="s">
        <v>65</v>
      </c>
      <c r="H43" s="108">
        <f>E43*'Remuneration scales for staff'!$H$3</f>
        <v>174.67948717948701</v>
      </c>
      <c r="I43" s="102" t="s">
        <v>66</v>
      </c>
      <c r="J43" s="109" t="s">
        <v>67</v>
      </c>
      <c r="K43" s="104">
        <f>K42*$K$5</f>
        <v>374</v>
      </c>
      <c r="L43" s="109" t="s">
        <v>63</v>
      </c>
      <c r="M43" s="109" t="s">
        <v>64</v>
      </c>
      <c r="N43" s="104">
        <f t="shared" ref="N43:N44" si="7">K43</f>
        <v>374</v>
      </c>
      <c r="O43" s="109" t="s">
        <v>63</v>
      </c>
      <c r="P43" s="109" t="s">
        <v>65</v>
      </c>
      <c r="Q43" s="108">
        <f>N43*'Remuneration scales for staff'!$H$3</f>
        <v>599.35897435897402</v>
      </c>
      <c r="R43" s="109" t="s">
        <v>66</v>
      </c>
    </row>
    <row r="44" spans="1:18" ht="19">
      <c r="A44" s="148" t="s">
        <v>68</v>
      </c>
      <c r="B44" s="104">
        <f>B43*6*52</f>
        <v>34008</v>
      </c>
      <c r="C44" s="102" t="s">
        <v>63</v>
      </c>
      <c r="D44" s="102" t="s">
        <v>64</v>
      </c>
      <c r="E44" s="104">
        <f t="shared" si="6"/>
        <v>34008</v>
      </c>
      <c r="F44" s="102" t="s">
        <v>63</v>
      </c>
      <c r="G44" s="102" t="s">
        <v>65</v>
      </c>
      <c r="H44" s="108">
        <f>E44*'Remuneration scales for staff'!$H$3</f>
        <v>54500</v>
      </c>
      <c r="I44" s="102" t="s">
        <v>66</v>
      </c>
      <c r="J44" s="109" t="s">
        <v>68</v>
      </c>
      <c r="K44" s="104">
        <f>K43*6*52</f>
        <v>116688</v>
      </c>
      <c r="L44" s="109" t="s">
        <v>63</v>
      </c>
      <c r="M44" s="109" t="s">
        <v>64</v>
      </c>
      <c r="N44" s="104">
        <f t="shared" si="7"/>
        <v>116688</v>
      </c>
      <c r="O44" s="109" t="s">
        <v>63</v>
      </c>
      <c r="P44" s="109" t="s">
        <v>65</v>
      </c>
      <c r="Q44" s="108">
        <f>N44*'Remuneration scales for staff'!$H$3</f>
        <v>187000</v>
      </c>
      <c r="R44" s="109" t="s">
        <v>66</v>
      </c>
    </row>
    <row r="45" spans="1:18">
      <c r="A45" s="102"/>
      <c r="B45" s="102"/>
      <c r="C45" s="102"/>
      <c r="D45" s="102"/>
      <c r="E45" s="102"/>
      <c r="F45" s="102"/>
      <c r="G45" s="102"/>
      <c r="H45" s="110"/>
      <c r="I45" s="102"/>
      <c r="J45" s="109"/>
      <c r="K45" s="109"/>
      <c r="L45" s="109"/>
      <c r="M45" s="109"/>
      <c r="N45" s="109"/>
      <c r="O45" s="109"/>
      <c r="P45" s="109"/>
      <c r="Q45" s="112"/>
      <c r="R45" s="109"/>
    </row>
    <row r="46" spans="1:18" ht="21">
      <c r="A46" s="229" t="s">
        <v>76</v>
      </c>
      <c r="B46" s="229"/>
      <c r="C46" s="229"/>
      <c r="D46" s="229"/>
      <c r="E46" s="229"/>
      <c r="F46" s="229"/>
      <c r="G46" s="229"/>
      <c r="H46" s="229"/>
      <c r="I46" s="229"/>
      <c r="J46" s="230" t="s">
        <v>76</v>
      </c>
      <c r="K46" s="230"/>
      <c r="L46" s="230"/>
      <c r="M46" s="230"/>
      <c r="N46" s="230"/>
      <c r="O46" s="230"/>
      <c r="P46" s="230"/>
      <c r="Q46" s="230"/>
      <c r="R46" s="230"/>
    </row>
    <row r="47" spans="1:18" ht="19">
      <c r="A47" s="148" t="s">
        <v>62</v>
      </c>
      <c r="B47" s="103">
        <v>1</v>
      </c>
      <c r="C47" s="102" t="s">
        <v>63</v>
      </c>
      <c r="D47" s="102" t="s">
        <v>64</v>
      </c>
      <c r="E47" s="104">
        <f>B47</f>
        <v>1</v>
      </c>
      <c r="F47" s="102" t="s">
        <v>63</v>
      </c>
      <c r="G47" s="102" t="s">
        <v>65</v>
      </c>
      <c r="H47" s="108">
        <f>E47*'Remuneration scales for staff'!$H$3</f>
        <v>1.6025641025641</v>
      </c>
      <c r="I47" s="102" t="s">
        <v>66</v>
      </c>
      <c r="J47" s="109" t="s">
        <v>62</v>
      </c>
      <c r="K47" s="103">
        <v>1.24</v>
      </c>
      <c r="L47" s="109" t="s">
        <v>63</v>
      </c>
      <c r="M47" s="109" t="s">
        <v>64</v>
      </c>
      <c r="N47" s="104">
        <f>K47</f>
        <v>1.24</v>
      </c>
      <c r="O47" s="109" t="s">
        <v>63</v>
      </c>
      <c r="P47" s="109" t="s">
        <v>65</v>
      </c>
      <c r="Q47" s="108">
        <f>N47*'Remuneration scales for staff'!$H$3</f>
        <v>1.9871794871794899</v>
      </c>
      <c r="R47" s="109" t="s">
        <v>66</v>
      </c>
    </row>
    <row r="48" spans="1:18" ht="19">
      <c r="A48" s="148" t="s">
        <v>67</v>
      </c>
      <c r="B48" s="104">
        <f>B47*$B$5</f>
        <v>100</v>
      </c>
      <c r="C48" s="102" t="s">
        <v>63</v>
      </c>
      <c r="D48" s="102" t="s">
        <v>64</v>
      </c>
      <c r="E48" s="104">
        <f t="shared" ref="E48:E49" si="8">B48</f>
        <v>100</v>
      </c>
      <c r="F48" s="102" t="s">
        <v>63</v>
      </c>
      <c r="G48" s="102" t="s">
        <v>65</v>
      </c>
      <c r="H48" s="108">
        <f>E48*'Remuneration scales for staff'!$H$3</f>
        <v>160.25641025640999</v>
      </c>
      <c r="I48" s="102" t="s">
        <v>66</v>
      </c>
      <c r="J48" s="109" t="s">
        <v>67</v>
      </c>
      <c r="K48" s="104">
        <f>K47*$K$5</f>
        <v>124</v>
      </c>
      <c r="L48" s="109" t="s">
        <v>63</v>
      </c>
      <c r="M48" s="109" t="s">
        <v>64</v>
      </c>
      <c r="N48" s="104">
        <f t="shared" ref="N48:N49" si="9">K48</f>
        <v>124</v>
      </c>
      <c r="O48" s="109" t="s">
        <v>63</v>
      </c>
      <c r="P48" s="109" t="s">
        <v>65</v>
      </c>
      <c r="Q48" s="108">
        <f>N48*'Remuneration scales for staff'!$H$3</f>
        <v>198.71794871794901</v>
      </c>
      <c r="R48" s="109" t="s">
        <v>66</v>
      </c>
    </row>
    <row r="49" spans="1:18" ht="19">
      <c r="A49" s="148" t="s">
        <v>68</v>
      </c>
      <c r="B49" s="104">
        <f>B48*6*52</f>
        <v>31200</v>
      </c>
      <c r="C49" s="102" t="s">
        <v>63</v>
      </c>
      <c r="D49" s="102" t="s">
        <v>64</v>
      </c>
      <c r="E49" s="104">
        <f t="shared" si="8"/>
        <v>31200</v>
      </c>
      <c r="F49" s="102" t="s">
        <v>63</v>
      </c>
      <c r="G49" s="102" t="s">
        <v>65</v>
      </c>
      <c r="H49" s="108">
        <f>E49*'Remuneration scales for staff'!$H$3</f>
        <v>50000</v>
      </c>
      <c r="I49" s="102" t="s">
        <v>66</v>
      </c>
      <c r="J49" s="109" t="s">
        <v>68</v>
      </c>
      <c r="K49" s="104">
        <f>K48*6*52</f>
        <v>38688</v>
      </c>
      <c r="L49" s="109" t="s">
        <v>63</v>
      </c>
      <c r="M49" s="109" t="s">
        <v>64</v>
      </c>
      <c r="N49" s="104">
        <f t="shared" si="9"/>
        <v>38688</v>
      </c>
      <c r="O49" s="109" t="s">
        <v>63</v>
      </c>
      <c r="P49" s="109" t="s">
        <v>65</v>
      </c>
      <c r="Q49" s="108">
        <f>N49*'Remuneration scales for staff'!$H$3</f>
        <v>62000</v>
      </c>
      <c r="R49" s="109" t="s">
        <v>66</v>
      </c>
    </row>
    <row r="50" spans="1:18">
      <c r="A50" s="102"/>
      <c r="B50" s="102"/>
      <c r="C50" s="102"/>
      <c r="D50" s="102"/>
      <c r="E50" s="102"/>
      <c r="F50" s="102"/>
      <c r="G50" s="102"/>
      <c r="H50" s="110"/>
      <c r="I50" s="102"/>
      <c r="J50" s="109"/>
      <c r="K50" s="109"/>
      <c r="L50" s="109"/>
      <c r="M50" s="109"/>
      <c r="N50" s="109"/>
      <c r="O50" s="109"/>
      <c r="P50" s="109"/>
      <c r="Q50" s="112"/>
      <c r="R50" s="109"/>
    </row>
    <row r="51" spans="1:18" ht="21">
      <c r="A51" s="229" t="s">
        <v>77</v>
      </c>
      <c r="B51" s="229"/>
      <c r="C51" s="229"/>
      <c r="D51" s="229"/>
      <c r="E51" s="229"/>
      <c r="F51" s="229"/>
      <c r="G51" s="229"/>
      <c r="H51" s="229"/>
      <c r="I51" s="229"/>
      <c r="J51" s="230" t="s">
        <v>77</v>
      </c>
      <c r="K51" s="230"/>
      <c r="L51" s="230"/>
      <c r="M51" s="230"/>
      <c r="N51" s="230"/>
      <c r="O51" s="230"/>
      <c r="P51" s="230"/>
      <c r="Q51" s="230"/>
      <c r="R51" s="230"/>
    </row>
    <row r="52" spans="1:18" ht="19">
      <c r="A52" s="148" t="s">
        <v>62</v>
      </c>
      <c r="B52" s="103">
        <v>1.29</v>
      </c>
      <c r="C52" s="102" t="s">
        <v>63</v>
      </c>
      <c r="D52" s="102" t="s">
        <v>64</v>
      </c>
      <c r="E52" s="104">
        <f>B52</f>
        <v>1.29</v>
      </c>
      <c r="F52" s="102" t="s">
        <v>63</v>
      </c>
      <c r="G52" s="102" t="s">
        <v>65</v>
      </c>
      <c r="H52" s="108">
        <f>E52*'Remuneration scales for staff'!$H$3</f>
        <v>2.0673076923076898</v>
      </c>
      <c r="I52" s="102" t="s">
        <v>66</v>
      </c>
      <c r="J52" s="109" t="s">
        <v>62</v>
      </c>
      <c r="K52" s="103">
        <v>2.85</v>
      </c>
      <c r="L52" s="109" t="s">
        <v>63</v>
      </c>
      <c r="M52" s="109" t="s">
        <v>64</v>
      </c>
      <c r="N52" s="104">
        <f>K52</f>
        <v>2.85</v>
      </c>
      <c r="O52" s="109" t="s">
        <v>63</v>
      </c>
      <c r="P52" s="109" t="s">
        <v>65</v>
      </c>
      <c r="Q52" s="108">
        <f>N52*'Remuneration scales for staff'!$H$3</f>
        <v>4.5673076923076898</v>
      </c>
      <c r="R52" s="109" t="s">
        <v>66</v>
      </c>
    </row>
    <row r="53" spans="1:18" ht="19">
      <c r="A53" s="148" t="s">
        <v>67</v>
      </c>
      <c r="B53" s="104">
        <f>B52*$B$5</f>
        <v>129</v>
      </c>
      <c r="C53" s="102" t="s">
        <v>63</v>
      </c>
      <c r="D53" s="102" t="s">
        <v>64</v>
      </c>
      <c r="E53" s="104">
        <f t="shared" ref="E53:E54" si="10">B53</f>
        <v>129</v>
      </c>
      <c r="F53" s="102" t="s">
        <v>63</v>
      </c>
      <c r="G53" s="102" t="s">
        <v>65</v>
      </c>
      <c r="H53" s="108">
        <f>E53*'Remuneration scales for staff'!$H$3</f>
        <v>206.730769230769</v>
      </c>
      <c r="I53" s="102" t="s">
        <v>66</v>
      </c>
      <c r="J53" s="109" t="s">
        <v>67</v>
      </c>
      <c r="K53" s="104">
        <f>K52*$K$5</f>
        <v>285</v>
      </c>
      <c r="L53" s="109" t="s">
        <v>63</v>
      </c>
      <c r="M53" s="109" t="s">
        <v>64</v>
      </c>
      <c r="N53" s="104">
        <f t="shared" ref="N53:N54" si="11">K53</f>
        <v>285</v>
      </c>
      <c r="O53" s="109" t="s">
        <v>63</v>
      </c>
      <c r="P53" s="109" t="s">
        <v>65</v>
      </c>
      <c r="Q53" s="108">
        <f>N53*'Remuneration scales for staff'!$H$3</f>
        <v>456.730769230769</v>
      </c>
      <c r="R53" s="109" t="s">
        <v>66</v>
      </c>
    </row>
    <row r="54" spans="1:18" ht="19">
      <c r="A54" s="148" t="s">
        <v>68</v>
      </c>
      <c r="B54" s="104">
        <f>B53*6*52</f>
        <v>40248</v>
      </c>
      <c r="C54" s="102" t="s">
        <v>63</v>
      </c>
      <c r="D54" s="102" t="s">
        <v>64</v>
      </c>
      <c r="E54" s="104">
        <f t="shared" si="10"/>
        <v>40248</v>
      </c>
      <c r="F54" s="102" t="s">
        <v>63</v>
      </c>
      <c r="G54" s="102" t="s">
        <v>65</v>
      </c>
      <c r="H54" s="108">
        <f>E54*'Remuneration scales for staff'!$H$3</f>
        <v>64500</v>
      </c>
      <c r="I54" s="102" t="s">
        <v>66</v>
      </c>
      <c r="J54" s="109" t="s">
        <v>68</v>
      </c>
      <c r="K54" s="104">
        <f>K53*6*52</f>
        <v>88920</v>
      </c>
      <c r="L54" s="109" t="s">
        <v>63</v>
      </c>
      <c r="M54" s="109" t="s">
        <v>64</v>
      </c>
      <c r="N54" s="104">
        <f t="shared" si="11"/>
        <v>88920</v>
      </c>
      <c r="O54" s="109" t="s">
        <v>63</v>
      </c>
      <c r="P54" s="109" t="s">
        <v>65</v>
      </c>
      <c r="Q54" s="108">
        <f>N54*'Remuneration scales for staff'!$H$3</f>
        <v>142500</v>
      </c>
      <c r="R54" s="109" t="s">
        <v>66</v>
      </c>
    </row>
    <row r="55" spans="1:18">
      <c r="A55" s="102"/>
      <c r="B55" s="102"/>
      <c r="C55" s="102"/>
      <c r="D55" s="102"/>
      <c r="E55" s="102"/>
      <c r="F55" s="102"/>
      <c r="G55" s="102"/>
      <c r="H55" s="110"/>
      <c r="I55" s="102"/>
      <c r="J55" s="109"/>
      <c r="K55" s="109"/>
      <c r="L55" s="109"/>
      <c r="M55" s="109"/>
      <c r="N55" s="109"/>
      <c r="O55" s="109"/>
      <c r="P55" s="109"/>
      <c r="Q55" s="112"/>
      <c r="R55" s="109"/>
    </row>
    <row r="56" spans="1:18" ht="19">
      <c r="A56" s="148" t="s">
        <v>62</v>
      </c>
      <c r="B56" s="102"/>
      <c r="C56" s="102"/>
      <c r="D56" s="102" t="s">
        <v>64</v>
      </c>
      <c r="E56" s="104">
        <f>E42+E47+E52</f>
        <v>3.38</v>
      </c>
      <c r="F56" s="102" t="s">
        <v>63</v>
      </c>
      <c r="G56" s="102" t="s">
        <v>65</v>
      </c>
      <c r="H56" s="108">
        <f>H42+H47+H52</f>
        <v>5.4166666666666696</v>
      </c>
      <c r="I56" s="102" t="s">
        <v>66</v>
      </c>
      <c r="J56" s="109" t="s">
        <v>62</v>
      </c>
      <c r="K56" s="109"/>
      <c r="L56" s="109"/>
      <c r="M56" s="109" t="s">
        <v>64</v>
      </c>
      <c r="N56" s="104">
        <f>N42+N47+N52</f>
        <v>7.83</v>
      </c>
      <c r="O56" s="109" t="s">
        <v>63</v>
      </c>
      <c r="P56" s="109" t="s">
        <v>65</v>
      </c>
      <c r="Q56" s="108">
        <f>Q42+Q47+Q52</f>
        <v>12.5480769230769</v>
      </c>
      <c r="R56" s="109" t="s">
        <v>66</v>
      </c>
    </row>
    <row r="57" spans="1:18" ht="19">
      <c r="A57" s="148" t="s">
        <v>67</v>
      </c>
      <c r="B57" s="102"/>
      <c r="C57" s="102"/>
      <c r="D57" s="102" t="s">
        <v>64</v>
      </c>
      <c r="E57" s="104">
        <f>E43+E48+E53</f>
        <v>338</v>
      </c>
      <c r="F57" s="102" t="s">
        <v>63</v>
      </c>
      <c r="G57" s="102" t="s">
        <v>65</v>
      </c>
      <c r="H57" s="108">
        <f>H43+H48+H53</f>
        <v>541.66666666666697</v>
      </c>
      <c r="I57" s="102" t="s">
        <v>66</v>
      </c>
      <c r="J57" s="109" t="s">
        <v>67</v>
      </c>
      <c r="K57" s="109"/>
      <c r="L57" s="109"/>
      <c r="M57" s="109" t="s">
        <v>64</v>
      </c>
      <c r="N57" s="104">
        <f>N43+N48+N53</f>
        <v>783</v>
      </c>
      <c r="O57" s="109" t="s">
        <v>63</v>
      </c>
      <c r="P57" s="109" t="s">
        <v>65</v>
      </c>
      <c r="Q57" s="108">
        <f>Q43+Q48+Q53</f>
        <v>1254.8076923076901</v>
      </c>
      <c r="R57" s="109" t="s">
        <v>66</v>
      </c>
    </row>
    <row r="58" spans="1:18" ht="19">
      <c r="A58" s="148" t="s">
        <v>68</v>
      </c>
      <c r="B58" s="102"/>
      <c r="C58" s="102"/>
      <c r="D58" s="102" t="s">
        <v>64</v>
      </c>
      <c r="E58" s="104">
        <f>E44+E49+E54</f>
        <v>105456</v>
      </c>
      <c r="F58" s="102" t="s">
        <v>63</v>
      </c>
      <c r="G58" s="102" t="s">
        <v>65</v>
      </c>
      <c r="H58" s="108">
        <f>H44+H49+H54</f>
        <v>169000</v>
      </c>
      <c r="I58" s="102" t="s">
        <v>66</v>
      </c>
      <c r="J58" s="109" t="s">
        <v>68</v>
      </c>
      <c r="K58" s="109"/>
      <c r="L58" s="109"/>
      <c r="M58" s="109" t="s">
        <v>64</v>
      </c>
      <c r="N58" s="104">
        <f>N44+N49+N54</f>
        <v>244296</v>
      </c>
      <c r="O58" s="109" t="s">
        <v>63</v>
      </c>
      <c r="P58" s="109" t="s">
        <v>65</v>
      </c>
      <c r="Q58" s="108">
        <f>Q44+Q49+Q54</f>
        <v>391500</v>
      </c>
      <c r="R58" s="109" t="s">
        <v>66</v>
      </c>
    </row>
    <row r="59" spans="1:18">
      <c r="A59" s="102"/>
      <c r="B59" s="102"/>
      <c r="C59" s="102"/>
      <c r="D59" s="102"/>
      <c r="E59" s="102"/>
      <c r="F59" s="102"/>
      <c r="G59" s="102"/>
      <c r="H59" s="110"/>
      <c r="I59" s="102"/>
      <c r="J59" s="109"/>
      <c r="K59" s="109"/>
      <c r="L59" s="109"/>
      <c r="M59" s="109"/>
      <c r="N59" s="109"/>
      <c r="O59" s="109"/>
      <c r="P59" s="109"/>
      <c r="Q59" s="112"/>
      <c r="R59" s="109"/>
    </row>
    <row r="60" spans="1:18">
      <c r="A60" s="102"/>
      <c r="B60" s="102"/>
      <c r="C60" s="102"/>
      <c r="D60" s="102"/>
      <c r="E60" s="102"/>
      <c r="F60" s="102"/>
      <c r="G60" s="102"/>
      <c r="H60" s="110"/>
      <c r="I60" s="102"/>
      <c r="J60" s="109"/>
      <c r="K60" s="109"/>
      <c r="L60" s="109"/>
      <c r="M60" s="109"/>
      <c r="N60" s="109"/>
      <c r="O60" s="109"/>
      <c r="P60" s="109"/>
      <c r="Q60" s="112"/>
      <c r="R60" s="109"/>
    </row>
    <row r="61" spans="1:18" ht="19">
      <c r="A61" s="148" t="s">
        <v>62</v>
      </c>
      <c r="B61" s="102" t="s">
        <v>78</v>
      </c>
      <c r="C61" s="102"/>
      <c r="D61" s="102" t="s">
        <v>64</v>
      </c>
      <c r="E61" s="104">
        <f>E16+E36+E56</f>
        <v>9.5299999999999994</v>
      </c>
      <c r="F61" s="102" t="s">
        <v>63</v>
      </c>
      <c r="G61" s="102" t="s">
        <v>65</v>
      </c>
      <c r="H61" s="108">
        <f>H16+H36+H56</f>
        <v>15.2724358974359</v>
      </c>
      <c r="I61" s="102" t="s">
        <v>66</v>
      </c>
      <c r="J61" s="109" t="s">
        <v>62</v>
      </c>
      <c r="K61" s="109" t="s">
        <v>78</v>
      </c>
      <c r="L61" s="109"/>
      <c r="M61" s="109" t="s">
        <v>64</v>
      </c>
      <c r="N61" s="104">
        <f>N16+N36+N56</f>
        <v>21.19</v>
      </c>
      <c r="O61" s="109" t="s">
        <v>63</v>
      </c>
      <c r="P61" s="109" t="s">
        <v>65</v>
      </c>
      <c r="Q61" s="108">
        <f>Q16+Q36+Q56</f>
        <v>33.9583333333333</v>
      </c>
      <c r="R61" s="109" t="s">
        <v>66</v>
      </c>
    </row>
    <row r="62" spans="1:18" ht="19">
      <c r="A62" s="148" t="s">
        <v>67</v>
      </c>
      <c r="B62" s="102" t="s">
        <v>78</v>
      </c>
      <c r="C62" s="102"/>
      <c r="D62" s="102" t="s">
        <v>64</v>
      </c>
      <c r="E62" s="104">
        <f>E17+E37+E57</f>
        <v>953</v>
      </c>
      <c r="F62" s="102" t="s">
        <v>63</v>
      </c>
      <c r="G62" s="102" t="s">
        <v>65</v>
      </c>
      <c r="H62" s="108">
        <f>H17+H37+H57</f>
        <v>1527.2435897435901</v>
      </c>
      <c r="I62" s="102" t="s">
        <v>66</v>
      </c>
      <c r="J62" s="109" t="s">
        <v>67</v>
      </c>
      <c r="K62" s="109" t="s">
        <v>78</v>
      </c>
      <c r="L62" s="109"/>
      <c r="M62" s="109" t="s">
        <v>64</v>
      </c>
      <c r="N62" s="104">
        <f>N17+N37+N57</f>
        <v>2119</v>
      </c>
      <c r="O62" s="109" t="s">
        <v>63</v>
      </c>
      <c r="P62" s="109" t="s">
        <v>65</v>
      </c>
      <c r="Q62" s="108">
        <f>Q17+Q37+Q57</f>
        <v>3395.8333333333298</v>
      </c>
      <c r="R62" s="109" t="s">
        <v>66</v>
      </c>
    </row>
    <row r="63" spans="1:18" ht="19">
      <c r="A63" s="148" t="s">
        <v>68</v>
      </c>
      <c r="B63" s="102" t="s">
        <v>78</v>
      </c>
      <c r="C63" s="102"/>
      <c r="D63" s="102" t="s">
        <v>64</v>
      </c>
      <c r="E63" s="104">
        <f>E18+E38+E58</f>
        <v>297336</v>
      </c>
      <c r="F63" s="102" t="s">
        <v>63</v>
      </c>
      <c r="G63" s="102" t="s">
        <v>65</v>
      </c>
      <c r="H63" s="108">
        <f>H18+H38+H58</f>
        <v>476500</v>
      </c>
      <c r="I63" s="102" t="s">
        <v>66</v>
      </c>
      <c r="J63" s="109" t="s">
        <v>68</v>
      </c>
      <c r="K63" s="109" t="s">
        <v>78</v>
      </c>
      <c r="L63" s="109"/>
      <c r="M63" s="109" t="s">
        <v>64</v>
      </c>
      <c r="N63" s="104">
        <f>N18+N38+N58</f>
        <v>566389</v>
      </c>
      <c r="O63" s="109" t="s">
        <v>63</v>
      </c>
      <c r="P63" s="109" t="s">
        <v>65</v>
      </c>
      <c r="Q63" s="108">
        <f>Q18+Q38+Q58</f>
        <v>1059500</v>
      </c>
      <c r="R63" s="109" t="s">
        <v>66</v>
      </c>
    </row>
    <row r="64" spans="1:18">
      <c r="A64" s="102"/>
      <c r="B64" s="102"/>
      <c r="C64" s="102"/>
      <c r="D64" s="102"/>
      <c r="E64" s="102"/>
      <c r="F64" s="102"/>
      <c r="G64" s="102"/>
      <c r="H64" s="110"/>
      <c r="I64" s="102"/>
      <c r="J64" s="109"/>
      <c r="K64" s="109"/>
      <c r="L64" s="109"/>
      <c r="M64" s="109"/>
      <c r="N64" s="109"/>
      <c r="O64" s="109"/>
      <c r="P64" s="109"/>
      <c r="Q64" s="112"/>
      <c r="R64" s="109"/>
    </row>
    <row r="65" spans="1:18" s="73" customFormat="1" ht="19">
      <c r="A65" s="148" t="s">
        <v>62</v>
      </c>
      <c r="B65" s="102" t="s">
        <v>78</v>
      </c>
      <c r="C65" s="118"/>
      <c r="D65" s="118" t="s">
        <v>79</v>
      </c>
      <c r="E65" s="157">
        <f>N61-E61</f>
        <v>11.66</v>
      </c>
      <c r="F65" s="118" t="s">
        <v>63</v>
      </c>
      <c r="G65" s="118"/>
      <c r="H65" s="120"/>
      <c r="I65" s="118"/>
      <c r="J65" s="109" t="s">
        <v>62</v>
      </c>
      <c r="K65" s="109" t="s">
        <v>78</v>
      </c>
      <c r="L65" s="88"/>
      <c r="M65" s="88" t="s">
        <v>79</v>
      </c>
      <c r="N65" s="157">
        <f>Q61-H61</f>
        <v>18.685897435897399</v>
      </c>
      <c r="O65" s="88" t="s">
        <v>66</v>
      </c>
      <c r="P65" s="88"/>
      <c r="Q65" s="162"/>
      <c r="R65" s="88"/>
    </row>
    <row r="66" spans="1:18" s="73" customFormat="1" ht="19">
      <c r="A66" s="148" t="s">
        <v>67</v>
      </c>
      <c r="B66" s="102" t="s">
        <v>78</v>
      </c>
      <c r="C66" s="118"/>
      <c r="D66" s="118" t="s">
        <v>79</v>
      </c>
      <c r="E66" s="157">
        <f>N62-E62</f>
        <v>1166</v>
      </c>
      <c r="F66" s="118" t="s">
        <v>63</v>
      </c>
      <c r="G66" s="118"/>
      <c r="H66" s="120"/>
      <c r="I66" s="118"/>
      <c r="J66" s="109" t="s">
        <v>67</v>
      </c>
      <c r="K66" s="109" t="s">
        <v>78</v>
      </c>
      <c r="L66" s="88"/>
      <c r="M66" s="88" t="s">
        <v>79</v>
      </c>
      <c r="N66" s="157">
        <f>Q62-H62</f>
        <v>1868.58974358974</v>
      </c>
      <c r="O66" s="88" t="s">
        <v>66</v>
      </c>
      <c r="P66" s="88"/>
      <c r="Q66" s="162"/>
      <c r="R66" s="88"/>
    </row>
    <row r="67" spans="1:18" s="73" customFormat="1" ht="19">
      <c r="A67" s="148" t="s">
        <v>68</v>
      </c>
      <c r="B67" s="102" t="s">
        <v>78</v>
      </c>
      <c r="C67" s="118"/>
      <c r="D67" s="118" t="s">
        <v>79</v>
      </c>
      <c r="E67" s="157">
        <f>N63-E63</f>
        <v>269053</v>
      </c>
      <c r="F67" s="118" t="s">
        <v>63</v>
      </c>
      <c r="G67" s="118"/>
      <c r="H67" s="120"/>
      <c r="I67" s="118"/>
      <c r="J67" s="109" t="s">
        <v>68</v>
      </c>
      <c r="K67" s="109" t="s">
        <v>78</v>
      </c>
      <c r="L67" s="88"/>
      <c r="M67" s="88" t="s">
        <v>79</v>
      </c>
      <c r="N67" s="157">
        <f>Q63-H63</f>
        <v>583000</v>
      </c>
      <c r="O67" s="88" t="s">
        <v>66</v>
      </c>
      <c r="P67" s="88"/>
      <c r="Q67" s="162"/>
      <c r="R67" s="88"/>
    </row>
    <row r="68" spans="1:18">
      <c r="A68" s="102"/>
      <c r="B68" s="102"/>
      <c r="C68" s="102"/>
      <c r="D68" s="102"/>
      <c r="E68" s="102"/>
      <c r="F68" s="102"/>
      <c r="G68" s="102"/>
      <c r="H68" s="110"/>
      <c r="I68" s="102"/>
      <c r="J68" s="109"/>
      <c r="K68" s="109"/>
      <c r="L68" s="109"/>
      <c r="M68" s="109"/>
      <c r="N68" s="109"/>
      <c r="O68" s="109"/>
      <c r="P68" s="109"/>
      <c r="Q68" s="112"/>
      <c r="R68" s="109"/>
    </row>
    <row r="69" spans="1:18" ht="21">
      <c r="A69" s="227" t="s">
        <v>80</v>
      </c>
      <c r="B69" s="227"/>
      <c r="C69" s="227"/>
      <c r="D69" s="227"/>
      <c r="E69" s="227"/>
      <c r="F69" s="227"/>
      <c r="G69" s="227"/>
      <c r="H69" s="227"/>
      <c r="I69" s="227"/>
      <c r="J69" s="228" t="s">
        <v>81</v>
      </c>
      <c r="K69" s="228"/>
      <c r="L69" s="228"/>
      <c r="M69" s="228"/>
      <c r="N69" s="228"/>
      <c r="O69" s="228"/>
      <c r="P69" s="228"/>
      <c r="Q69" s="228"/>
      <c r="R69" s="228"/>
    </row>
    <row r="70" spans="1:18" ht="21">
      <c r="A70" s="229" t="s">
        <v>82</v>
      </c>
      <c r="B70" s="229"/>
      <c r="C70" s="229"/>
      <c r="D70" s="229"/>
      <c r="E70" s="229"/>
      <c r="F70" s="229"/>
      <c r="G70" s="229"/>
      <c r="H70" s="229"/>
      <c r="I70" s="229"/>
      <c r="J70" s="230" t="s">
        <v>83</v>
      </c>
      <c r="K70" s="230"/>
      <c r="L70" s="230"/>
      <c r="M70" s="230"/>
      <c r="N70" s="230"/>
      <c r="O70" s="230"/>
      <c r="P70" s="230"/>
      <c r="Q70" s="230"/>
      <c r="R70" s="230"/>
    </row>
    <row r="71" spans="1:18" ht="19">
      <c r="A71" s="148" t="s">
        <v>62</v>
      </c>
      <c r="B71" s="103">
        <v>0.78</v>
      </c>
      <c r="C71" s="102" t="s">
        <v>63</v>
      </c>
      <c r="D71" s="102" t="s">
        <v>64</v>
      </c>
      <c r="E71" s="104">
        <f>B71</f>
        <v>0.78</v>
      </c>
      <c r="F71" s="102" t="s">
        <v>63</v>
      </c>
      <c r="G71" s="102" t="s">
        <v>65</v>
      </c>
      <c r="H71" s="108">
        <f>E71*'Remuneration scales for staff'!$H$8</f>
        <v>1.1458333333333299</v>
      </c>
      <c r="I71" s="102" t="s">
        <v>66</v>
      </c>
      <c r="J71" s="109" t="s">
        <v>62</v>
      </c>
      <c r="K71" s="103">
        <f>K72/$K$5</f>
        <v>0</v>
      </c>
      <c r="L71" s="109" t="s">
        <v>63</v>
      </c>
      <c r="M71" s="109" t="s">
        <v>64</v>
      </c>
      <c r="N71" s="104">
        <f>K71</f>
        <v>0</v>
      </c>
      <c r="O71" s="109" t="s">
        <v>63</v>
      </c>
      <c r="P71" s="109" t="s">
        <v>65</v>
      </c>
      <c r="Q71" s="108">
        <f>N71*'Remuneration scales for staff'!$H$8</f>
        <v>0</v>
      </c>
      <c r="R71" s="109" t="s">
        <v>66</v>
      </c>
    </row>
    <row r="72" spans="1:18" ht="19">
      <c r="A72" s="148" t="s">
        <v>67</v>
      </c>
      <c r="B72" s="104">
        <f>B71*B5</f>
        <v>78</v>
      </c>
      <c r="C72" s="102" t="s">
        <v>63</v>
      </c>
      <c r="D72" s="102" t="s">
        <v>64</v>
      </c>
      <c r="E72" s="104">
        <f>B72</f>
        <v>78</v>
      </c>
      <c r="F72" s="102" t="s">
        <v>63</v>
      </c>
      <c r="G72" s="102" t="s">
        <v>65</v>
      </c>
      <c r="H72" s="108">
        <f>E72*'Remuneration scales for staff'!$H$8</f>
        <v>114.583333333333</v>
      </c>
      <c r="I72" s="102" t="s">
        <v>66</v>
      </c>
      <c r="J72" s="109" t="s">
        <v>67</v>
      </c>
      <c r="K72" s="104">
        <v>0</v>
      </c>
      <c r="L72" s="109" t="s">
        <v>63</v>
      </c>
      <c r="M72" s="109" t="s">
        <v>64</v>
      </c>
      <c r="N72" s="104">
        <f>K72</f>
        <v>0</v>
      </c>
      <c r="O72" s="109" t="s">
        <v>63</v>
      </c>
      <c r="P72" s="109" t="s">
        <v>65</v>
      </c>
      <c r="Q72" s="108">
        <f>N72*'Remuneration scales for staff'!$H$8</f>
        <v>0</v>
      </c>
      <c r="R72" s="109" t="s">
        <v>66</v>
      </c>
    </row>
    <row r="73" spans="1:18" ht="19">
      <c r="A73" s="148" t="s">
        <v>68</v>
      </c>
      <c r="B73" s="104">
        <f>B72*6*52</f>
        <v>24336</v>
      </c>
      <c r="C73" s="102" t="s">
        <v>63</v>
      </c>
      <c r="D73" s="102" t="s">
        <v>64</v>
      </c>
      <c r="E73" s="104">
        <f>B73</f>
        <v>24336</v>
      </c>
      <c r="F73" s="102" t="s">
        <v>63</v>
      </c>
      <c r="G73" s="102" t="s">
        <v>65</v>
      </c>
      <c r="H73" s="108">
        <f>E73*'Remuneration scales for staff'!$H$8</f>
        <v>35750</v>
      </c>
      <c r="I73" s="102" t="s">
        <v>66</v>
      </c>
      <c r="J73" s="109" t="s">
        <v>68</v>
      </c>
      <c r="K73" s="104">
        <f>K72*6*52</f>
        <v>0</v>
      </c>
      <c r="L73" s="109" t="s">
        <v>63</v>
      </c>
      <c r="M73" s="109" t="s">
        <v>64</v>
      </c>
      <c r="N73" s="104">
        <f>K73</f>
        <v>0</v>
      </c>
      <c r="O73" s="109" t="s">
        <v>63</v>
      </c>
      <c r="P73" s="109" t="s">
        <v>65</v>
      </c>
      <c r="Q73" s="108">
        <f>N73*'Remuneration scales for staff'!$H$8</f>
        <v>0</v>
      </c>
      <c r="R73" s="109" t="s">
        <v>66</v>
      </c>
    </row>
    <row r="74" spans="1:18" ht="21">
      <c r="A74" s="101"/>
      <c r="B74" s="101"/>
      <c r="C74" s="101"/>
      <c r="D74" s="101"/>
      <c r="E74" s="101"/>
      <c r="F74" s="101"/>
      <c r="G74" s="101"/>
      <c r="H74" s="149"/>
      <c r="I74" s="101"/>
      <c r="J74" s="107"/>
      <c r="K74" s="107"/>
      <c r="L74" s="107"/>
      <c r="M74" s="107"/>
      <c r="N74" s="107"/>
      <c r="O74" s="107"/>
      <c r="P74" s="107"/>
      <c r="Q74" s="152"/>
      <c r="R74" s="107"/>
    </row>
    <row r="75" spans="1:18" ht="21">
      <c r="A75" s="229" t="s">
        <v>84</v>
      </c>
      <c r="B75" s="229"/>
      <c r="C75" s="229"/>
      <c r="D75" s="229"/>
      <c r="E75" s="229"/>
      <c r="F75" s="229"/>
      <c r="G75" s="229"/>
      <c r="H75" s="229"/>
      <c r="I75" s="229"/>
      <c r="J75" s="230" t="s">
        <v>84</v>
      </c>
      <c r="K75" s="230"/>
      <c r="L75" s="230"/>
      <c r="M75" s="230"/>
      <c r="N75" s="230"/>
      <c r="O75" s="230"/>
      <c r="P75" s="230"/>
      <c r="Q75" s="230"/>
      <c r="R75" s="230"/>
    </row>
    <row r="76" spans="1:18" ht="19">
      <c r="A76" s="148" t="s">
        <v>62</v>
      </c>
      <c r="B76" s="153">
        <v>0.38</v>
      </c>
      <c r="C76" s="102" t="s">
        <v>63</v>
      </c>
      <c r="D76" s="102" t="s">
        <v>64</v>
      </c>
      <c r="E76" s="105">
        <f>B76</f>
        <v>0.38</v>
      </c>
      <c r="F76" s="102" t="s">
        <v>63</v>
      </c>
      <c r="G76" s="102" t="s">
        <v>65</v>
      </c>
      <c r="H76" s="108">
        <f>E76*'Remuneration scales for staff'!$H$8</f>
        <v>0.55822649572649596</v>
      </c>
      <c r="I76" s="102" t="s">
        <v>66</v>
      </c>
      <c r="J76" s="109" t="s">
        <v>62</v>
      </c>
      <c r="K76" s="103">
        <v>0.45</v>
      </c>
      <c r="L76" s="109" t="s">
        <v>63</v>
      </c>
      <c r="M76" s="109" t="s">
        <v>64</v>
      </c>
      <c r="N76" s="104">
        <f>K76</f>
        <v>0.45</v>
      </c>
      <c r="O76" s="109" t="s">
        <v>63</v>
      </c>
      <c r="P76" s="109" t="s">
        <v>65</v>
      </c>
      <c r="Q76" s="108">
        <f>N76*'Remuneration scales for staff'!$H$8</f>
        <v>0.66105769230769196</v>
      </c>
      <c r="R76" s="109" t="s">
        <v>66</v>
      </c>
    </row>
    <row r="77" spans="1:18" ht="19">
      <c r="A77" s="148" t="s">
        <v>67</v>
      </c>
      <c r="B77" s="104">
        <f>B76*B5</f>
        <v>38</v>
      </c>
      <c r="C77" s="102" t="s">
        <v>63</v>
      </c>
      <c r="D77" s="102" t="s">
        <v>64</v>
      </c>
      <c r="E77" s="104">
        <f>B77</f>
        <v>38</v>
      </c>
      <c r="F77" s="102" t="s">
        <v>63</v>
      </c>
      <c r="G77" s="102" t="s">
        <v>65</v>
      </c>
      <c r="H77" s="108">
        <f>E77*'Remuneration scales for staff'!$H$8</f>
        <v>55.822649572649603</v>
      </c>
      <c r="I77" s="102" t="s">
        <v>66</v>
      </c>
      <c r="J77" s="109" t="s">
        <v>67</v>
      </c>
      <c r="K77" s="104">
        <f>K76*K5</f>
        <v>45</v>
      </c>
      <c r="L77" s="109" t="s">
        <v>63</v>
      </c>
      <c r="M77" s="109" t="s">
        <v>64</v>
      </c>
      <c r="N77" s="104">
        <f>K77</f>
        <v>45</v>
      </c>
      <c r="O77" s="109" t="s">
        <v>63</v>
      </c>
      <c r="P77" s="109" t="s">
        <v>65</v>
      </c>
      <c r="Q77" s="108">
        <f>N77*'Remuneration scales for staff'!$H$8</f>
        <v>66.105769230769198</v>
      </c>
      <c r="R77" s="109" t="s">
        <v>66</v>
      </c>
    </row>
    <row r="78" spans="1:18" ht="19">
      <c r="A78" s="148" t="s">
        <v>68</v>
      </c>
      <c r="B78" s="104">
        <f>B77*6*52</f>
        <v>11856</v>
      </c>
      <c r="C78" s="102" t="s">
        <v>63</v>
      </c>
      <c r="D78" s="102" t="s">
        <v>64</v>
      </c>
      <c r="E78" s="104">
        <f>B78</f>
        <v>11856</v>
      </c>
      <c r="F78" s="102" t="s">
        <v>63</v>
      </c>
      <c r="G78" s="102" t="s">
        <v>65</v>
      </c>
      <c r="H78" s="108">
        <f>E78*'Remuneration scales for staff'!$H$8</f>
        <v>17416.666666666701</v>
      </c>
      <c r="I78" s="102" t="s">
        <v>66</v>
      </c>
      <c r="J78" s="109" t="s">
        <v>68</v>
      </c>
      <c r="K78" s="104">
        <f>K77*6*52</f>
        <v>14040</v>
      </c>
      <c r="L78" s="109" t="s">
        <v>63</v>
      </c>
      <c r="M78" s="109" t="s">
        <v>64</v>
      </c>
      <c r="N78" s="104">
        <f>K78</f>
        <v>14040</v>
      </c>
      <c r="O78" s="109" t="s">
        <v>63</v>
      </c>
      <c r="P78" s="109" t="s">
        <v>65</v>
      </c>
      <c r="Q78" s="108">
        <f>N78*'Remuneration scales for staff'!$H$8</f>
        <v>20625</v>
      </c>
      <c r="R78" s="109" t="s">
        <v>66</v>
      </c>
    </row>
    <row r="79" spans="1:18" ht="21">
      <c r="A79" s="101"/>
      <c r="B79" s="101"/>
      <c r="C79" s="101"/>
      <c r="D79" s="101"/>
      <c r="E79" s="101"/>
      <c r="F79" s="101"/>
      <c r="G79" s="101"/>
      <c r="H79" s="149"/>
      <c r="I79" s="101"/>
      <c r="J79" s="107"/>
      <c r="K79" s="107"/>
      <c r="L79" s="107"/>
      <c r="M79" s="107"/>
      <c r="N79" s="107"/>
      <c r="O79" s="107"/>
      <c r="P79" s="107"/>
      <c r="Q79" s="152"/>
      <c r="R79" s="107"/>
    </row>
    <row r="80" spans="1:18" ht="21">
      <c r="A80" s="229" t="s">
        <v>85</v>
      </c>
      <c r="B80" s="229"/>
      <c r="C80" s="229"/>
      <c r="D80" s="229"/>
      <c r="E80" s="229"/>
      <c r="F80" s="229"/>
      <c r="G80" s="229"/>
      <c r="H80" s="229"/>
      <c r="I80" s="229"/>
      <c r="J80" s="230" t="s">
        <v>85</v>
      </c>
      <c r="K80" s="230"/>
      <c r="L80" s="230"/>
      <c r="M80" s="230"/>
      <c r="N80" s="230"/>
      <c r="O80" s="230"/>
      <c r="P80" s="230"/>
      <c r="Q80" s="230"/>
      <c r="R80" s="230"/>
    </row>
    <row r="81" spans="1:18" ht="19">
      <c r="A81" s="148" t="s">
        <v>62</v>
      </c>
      <c r="B81" s="153">
        <v>0.68</v>
      </c>
      <c r="C81" s="102" t="s">
        <v>63</v>
      </c>
      <c r="D81" s="102" t="s">
        <v>64</v>
      </c>
      <c r="E81" s="105">
        <f>B81</f>
        <v>0.68</v>
      </c>
      <c r="F81" s="102" t="s">
        <v>63</v>
      </c>
      <c r="G81" s="102" t="s">
        <v>65</v>
      </c>
      <c r="H81" s="108">
        <f>E81*'Remuneration scales for staff'!$H$8</f>
        <v>0.99893162393162405</v>
      </c>
      <c r="I81" s="102" t="s">
        <v>66</v>
      </c>
      <c r="J81" s="109" t="s">
        <v>62</v>
      </c>
      <c r="K81" s="103">
        <v>0.84</v>
      </c>
      <c r="L81" s="109" t="s">
        <v>63</v>
      </c>
      <c r="M81" s="109" t="s">
        <v>64</v>
      </c>
      <c r="N81" s="104">
        <f>K81</f>
        <v>0.84</v>
      </c>
      <c r="O81" s="109" t="s">
        <v>63</v>
      </c>
      <c r="P81" s="109" t="s">
        <v>65</v>
      </c>
      <c r="Q81" s="108">
        <f>N81*'Remuneration scales for staff'!$H$8</f>
        <v>1.2339743589743599</v>
      </c>
      <c r="R81" s="109" t="s">
        <v>66</v>
      </c>
    </row>
    <row r="82" spans="1:18" ht="19">
      <c r="A82" s="148" t="s">
        <v>67</v>
      </c>
      <c r="B82" s="104">
        <f>B81*B5</f>
        <v>68</v>
      </c>
      <c r="C82" s="102" t="s">
        <v>63</v>
      </c>
      <c r="D82" s="102" t="s">
        <v>64</v>
      </c>
      <c r="E82" s="104">
        <f>B82</f>
        <v>68</v>
      </c>
      <c r="F82" s="102" t="s">
        <v>63</v>
      </c>
      <c r="G82" s="102" t="s">
        <v>65</v>
      </c>
      <c r="H82" s="108">
        <f>E82*'Remuneration scales for staff'!$H$8</f>
        <v>99.893162393162399</v>
      </c>
      <c r="I82" s="102" t="s">
        <v>66</v>
      </c>
      <c r="J82" s="109" t="s">
        <v>67</v>
      </c>
      <c r="K82" s="104">
        <f>K81*K5</f>
        <v>84</v>
      </c>
      <c r="L82" s="109" t="s">
        <v>63</v>
      </c>
      <c r="M82" s="109" t="s">
        <v>64</v>
      </c>
      <c r="N82" s="104">
        <f>K82</f>
        <v>84</v>
      </c>
      <c r="O82" s="109" t="s">
        <v>63</v>
      </c>
      <c r="P82" s="109" t="s">
        <v>65</v>
      </c>
      <c r="Q82" s="108">
        <f>N82*'Remuneration scales for staff'!$H$8</f>
        <v>123.397435897436</v>
      </c>
      <c r="R82" s="109" t="s">
        <v>66</v>
      </c>
    </row>
    <row r="83" spans="1:18" ht="19">
      <c r="A83" s="148" t="s">
        <v>68</v>
      </c>
      <c r="B83" s="104">
        <f>B82*6*52</f>
        <v>21216</v>
      </c>
      <c r="C83" s="102" t="s">
        <v>63</v>
      </c>
      <c r="D83" s="102" t="s">
        <v>64</v>
      </c>
      <c r="E83" s="104">
        <f>B83</f>
        <v>21216</v>
      </c>
      <c r="F83" s="102" t="s">
        <v>63</v>
      </c>
      <c r="G83" s="102" t="s">
        <v>65</v>
      </c>
      <c r="H83" s="108">
        <f>E83*'Remuneration scales for staff'!$H$8</f>
        <v>31166.666666666701</v>
      </c>
      <c r="I83" s="102" t="s">
        <v>66</v>
      </c>
      <c r="J83" s="109" t="s">
        <v>68</v>
      </c>
      <c r="K83" s="104">
        <f>K82*6*52</f>
        <v>26208</v>
      </c>
      <c r="L83" s="109" t="s">
        <v>63</v>
      </c>
      <c r="M83" s="109" t="s">
        <v>64</v>
      </c>
      <c r="N83" s="104">
        <f>K83</f>
        <v>26208</v>
      </c>
      <c r="O83" s="109" t="s">
        <v>63</v>
      </c>
      <c r="P83" s="109" t="s">
        <v>65</v>
      </c>
      <c r="Q83" s="108">
        <f>N83*'Remuneration scales for staff'!$H$8</f>
        <v>38500</v>
      </c>
      <c r="R83" s="109" t="s">
        <v>66</v>
      </c>
    </row>
    <row r="84" spans="1:18">
      <c r="A84" s="102"/>
      <c r="B84" s="154"/>
      <c r="C84" s="102"/>
      <c r="D84" s="102"/>
      <c r="E84" s="154"/>
      <c r="F84" s="102"/>
      <c r="G84" s="102"/>
      <c r="H84" s="110"/>
      <c r="I84" s="102"/>
      <c r="J84" s="109"/>
      <c r="K84" s="109"/>
      <c r="L84" s="109"/>
      <c r="M84" s="109"/>
      <c r="N84" s="109"/>
      <c r="O84" s="109"/>
      <c r="P84" s="109"/>
      <c r="Q84" s="112"/>
      <c r="R84" s="109"/>
    </row>
    <row r="85" spans="1:18" ht="21">
      <c r="A85" s="229" t="s">
        <v>86</v>
      </c>
      <c r="B85" s="229"/>
      <c r="C85" s="229"/>
      <c r="D85" s="229"/>
      <c r="E85" s="229"/>
      <c r="F85" s="229"/>
      <c r="G85" s="229"/>
      <c r="H85" s="229"/>
      <c r="I85" s="229"/>
      <c r="J85" s="230" t="s">
        <v>86</v>
      </c>
      <c r="K85" s="230"/>
      <c r="L85" s="230"/>
      <c r="M85" s="230"/>
      <c r="N85" s="230"/>
      <c r="O85" s="230"/>
      <c r="P85" s="230"/>
      <c r="Q85" s="230"/>
      <c r="R85" s="230"/>
    </row>
    <row r="86" spans="1:18" ht="19">
      <c r="A86" s="148" t="s">
        <v>62</v>
      </c>
      <c r="B86" s="153">
        <v>5</v>
      </c>
      <c r="C86" s="102" t="s">
        <v>63</v>
      </c>
      <c r="D86" s="102" t="s">
        <v>64</v>
      </c>
      <c r="E86" s="105">
        <f>B86</f>
        <v>5</v>
      </c>
      <c r="F86" s="102" t="s">
        <v>63</v>
      </c>
      <c r="G86" s="102" t="s">
        <v>65</v>
      </c>
      <c r="H86" s="108">
        <f>E86*'Remuneration scales for staff'!$H$8</f>
        <v>7.3450854700854702</v>
      </c>
      <c r="I86" s="102" t="s">
        <v>66</v>
      </c>
      <c r="J86" s="109" t="s">
        <v>62</v>
      </c>
      <c r="K86" s="153">
        <v>1.05</v>
      </c>
      <c r="L86" s="109" t="s">
        <v>63</v>
      </c>
      <c r="M86" s="109" t="s">
        <v>64</v>
      </c>
      <c r="N86" s="105">
        <f>K86</f>
        <v>1.05</v>
      </c>
      <c r="O86" s="109" t="s">
        <v>63</v>
      </c>
      <c r="P86" s="109" t="s">
        <v>65</v>
      </c>
      <c r="Q86" s="108">
        <f>N86*'Remuneration scales for staff'!$H$8</f>
        <v>1.54246794871795</v>
      </c>
      <c r="R86" s="109" t="s">
        <v>66</v>
      </c>
    </row>
    <row r="87" spans="1:18" ht="19">
      <c r="A87" s="148" t="s">
        <v>67</v>
      </c>
      <c r="B87" s="105">
        <f>B86/'Scenario 1'!B10</f>
        <v>0.05</v>
      </c>
      <c r="C87" s="102" t="s">
        <v>63</v>
      </c>
      <c r="D87" s="102" t="s">
        <v>64</v>
      </c>
      <c r="E87" s="105">
        <f>B87</f>
        <v>0.05</v>
      </c>
      <c r="F87" s="102" t="s">
        <v>63</v>
      </c>
      <c r="G87" s="102" t="s">
        <v>65</v>
      </c>
      <c r="H87" s="108">
        <f>E87*'Remuneration scales for staff'!$H$8</f>
        <v>7.3450854700854704E-2</v>
      </c>
      <c r="I87" s="102" t="s">
        <v>66</v>
      </c>
      <c r="J87" s="109" t="s">
        <v>67</v>
      </c>
      <c r="K87" s="104">
        <f>K86*K5</f>
        <v>105</v>
      </c>
      <c r="L87" s="109" t="s">
        <v>63</v>
      </c>
      <c r="M87" s="109" t="s">
        <v>64</v>
      </c>
      <c r="N87" s="104">
        <f>K87</f>
        <v>105</v>
      </c>
      <c r="O87" s="109" t="s">
        <v>63</v>
      </c>
      <c r="P87" s="109" t="s">
        <v>65</v>
      </c>
      <c r="Q87" s="108">
        <f>N87*'Remuneration scales for staff'!$H$8</f>
        <v>154.246794871795</v>
      </c>
      <c r="R87" s="109" t="s">
        <v>66</v>
      </c>
    </row>
    <row r="88" spans="1:18" ht="19">
      <c r="A88" s="148" t="s">
        <v>68</v>
      </c>
      <c r="B88" s="104">
        <f>B86*6*52</f>
        <v>1560</v>
      </c>
      <c r="C88" s="102" t="s">
        <v>63</v>
      </c>
      <c r="D88" s="102" t="s">
        <v>64</v>
      </c>
      <c r="E88" s="104">
        <f>B88</f>
        <v>1560</v>
      </c>
      <c r="F88" s="102" t="s">
        <v>63</v>
      </c>
      <c r="G88" s="102" t="s">
        <v>65</v>
      </c>
      <c r="H88" s="108">
        <f>E88*'Remuneration scales for staff'!$H$8</f>
        <v>2291.6666666666702</v>
      </c>
      <c r="I88" s="102" t="s">
        <v>66</v>
      </c>
      <c r="J88" s="109" t="s">
        <v>68</v>
      </c>
      <c r="K88" s="104">
        <f>K87*6*52</f>
        <v>32760</v>
      </c>
      <c r="L88" s="109" t="s">
        <v>63</v>
      </c>
      <c r="M88" s="109" t="s">
        <v>64</v>
      </c>
      <c r="N88" s="104">
        <f>K88</f>
        <v>32760</v>
      </c>
      <c r="O88" s="109" t="s">
        <v>63</v>
      </c>
      <c r="P88" s="109" t="s">
        <v>65</v>
      </c>
      <c r="Q88" s="108">
        <f>N88*'Remuneration scales for staff'!$H$8</f>
        <v>48125</v>
      </c>
      <c r="R88" s="109" t="s">
        <v>66</v>
      </c>
    </row>
    <row r="89" spans="1:18" ht="21">
      <c r="A89" s="101"/>
      <c r="B89" s="101"/>
      <c r="C89" s="101"/>
      <c r="D89" s="101"/>
      <c r="E89" s="101"/>
      <c r="F89" s="101"/>
      <c r="G89" s="101"/>
      <c r="H89" s="149"/>
      <c r="I89" s="101"/>
      <c r="J89" s="107"/>
      <c r="K89" s="107"/>
      <c r="L89" s="107"/>
      <c r="M89" s="107"/>
      <c r="N89" s="107"/>
      <c r="O89" s="107"/>
      <c r="P89" s="107"/>
      <c r="Q89" s="152"/>
      <c r="R89" s="107"/>
    </row>
    <row r="90" spans="1:18" ht="19">
      <c r="A90" s="148" t="s">
        <v>62</v>
      </c>
      <c r="B90" s="102" t="s">
        <v>87</v>
      </c>
      <c r="C90" s="102"/>
      <c r="D90" s="102" t="s">
        <v>64</v>
      </c>
      <c r="E90" s="105">
        <f>E71+E76+E81+E87</f>
        <v>1.89</v>
      </c>
      <c r="F90" s="102" t="s">
        <v>63</v>
      </c>
      <c r="G90" s="102" t="s">
        <v>65</v>
      </c>
      <c r="H90" s="108">
        <f>H71+H76+H81+H87</f>
        <v>2.7764423076923102</v>
      </c>
      <c r="I90" s="102" t="s">
        <v>66</v>
      </c>
      <c r="J90" s="109" t="s">
        <v>62</v>
      </c>
      <c r="K90" s="109" t="s">
        <v>87</v>
      </c>
      <c r="L90" s="109"/>
      <c r="M90" s="109" t="s">
        <v>64</v>
      </c>
      <c r="N90" s="105">
        <f>N71+N76+N81+N86</f>
        <v>2.34</v>
      </c>
      <c r="O90" s="109" t="s">
        <v>63</v>
      </c>
      <c r="P90" s="109" t="s">
        <v>65</v>
      </c>
      <c r="Q90" s="108">
        <f>Q71+Q76+Q81+Q86</f>
        <v>3.4375</v>
      </c>
      <c r="R90" s="109" t="s">
        <v>66</v>
      </c>
    </row>
    <row r="91" spans="1:18" ht="19">
      <c r="A91" s="148" t="s">
        <v>67</v>
      </c>
      <c r="B91" s="102" t="s">
        <v>87</v>
      </c>
      <c r="C91" s="102"/>
      <c r="D91" s="102" t="s">
        <v>64</v>
      </c>
      <c r="E91" s="105">
        <f>E72+E77+E82+E86</f>
        <v>189</v>
      </c>
      <c r="F91" s="102" t="s">
        <v>63</v>
      </c>
      <c r="G91" s="102" t="s">
        <v>65</v>
      </c>
      <c r="H91" s="108">
        <f>H72+H77+H82+H86</f>
        <v>277.644230769231</v>
      </c>
      <c r="I91" s="102" t="s">
        <v>66</v>
      </c>
      <c r="J91" s="109" t="s">
        <v>67</v>
      </c>
      <c r="K91" s="109" t="s">
        <v>87</v>
      </c>
      <c r="L91" s="109"/>
      <c r="M91" s="109" t="s">
        <v>64</v>
      </c>
      <c r="N91" s="105">
        <f>N72+N77+N82+N87</f>
        <v>234</v>
      </c>
      <c r="O91" s="109" t="s">
        <v>63</v>
      </c>
      <c r="P91" s="109" t="s">
        <v>65</v>
      </c>
      <c r="Q91" s="108">
        <f>Q72+Q77+Q82+Q87</f>
        <v>343.75</v>
      </c>
      <c r="R91" s="109" t="s">
        <v>66</v>
      </c>
    </row>
    <row r="92" spans="1:18" ht="19">
      <c r="A92" s="148" t="s">
        <v>68</v>
      </c>
      <c r="B92" s="102" t="s">
        <v>87</v>
      </c>
      <c r="C92" s="102"/>
      <c r="D92" s="102" t="s">
        <v>64</v>
      </c>
      <c r="E92" s="105">
        <f>E73+E78+E83+E88</f>
        <v>58968</v>
      </c>
      <c r="F92" s="102" t="s">
        <v>63</v>
      </c>
      <c r="G92" s="102" t="s">
        <v>65</v>
      </c>
      <c r="H92" s="108">
        <f>H73+H78+H83+H88</f>
        <v>86625</v>
      </c>
      <c r="I92" s="102" t="s">
        <v>66</v>
      </c>
      <c r="J92" s="109" t="s">
        <v>68</v>
      </c>
      <c r="K92" s="109" t="s">
        <v>87</v>
      </c>
      <c r="L92" s="109"/>
      <c r="M92" s="109" t="s">
        <v>64</v>
      </c>
      <c r="N92" s="105">
        <f>N73+N78+N83+N88</f>
        <v>73008</v>
      </c>
      <c r="O92" s="109" t="s">
        <v>63</v>
      </c>
      <c r="P92" s="109" t="s">
        <v>65</v>
      </c>
      <c r="Q92" s="108">
        <f>Q73+Q78+Q83+Q88</f>
        <v>107250</v>
      </c>
      <c r="R92" s="109" t="s">
        <v>66</v>
      </c>
    </row>
    <row r="93" spans="1:18">
      <c r="A93" s="102"/>
      <c r="B93" s="102"/>
      <c r="C93" s="102"/>
      <c r="D93" s="102"/>
      <c r="E93" s="102"/>
      <c r="F93" s="102"/>
      <c r="G93" s="102"/>
      <c r="H93" s="110"/>
      <c r="I93" s="102"/>
      <c r="J93" s="109"/>
      <c r="K93" s="109"/>
      <c r="L93" s="109"/>
      <c r="M93" s="109"/>
      <c r="N93" s="109"/>
      <c r="O93" s="109"/>
      <c r="P93" s="109"/>
      <c r="Q93" s="112"/>
      <c r="R93" s="109"/>
    </row>
    <row r="94" spans="1:18" s="73" customFormat="1" ht="19">
      <c r="A94" s="148" t="s">
        <v>62</v>
      </c>
      <c r="B94" s="102" t="s">
        <v>87</v>
      </c>
      <c r="C94" s="118"/>
      <c r="D94" s="118" t="s">
        <v>79</v>
      </c>
      <c r="E94" s="157">
        <f>N90-E90</f>
        <v>0.45</v>
      </c>
      <c r="F94" s="118" t="s">
        <v>63</v>
      </c>
      <c r="G94" s="118"/>
      <c r="H94" s="120"/>
      <c r="I94" s="118"/>
      <c r="J94" s="88" t="s">
        <v>62</v>
      </c>
      <c r="K94" s="88" t="s">
        <v>87</v>
      </c>
      <c r="L94" s="88"/>
      <c r="M94" s="88" t="s">
        <v>79</v>
      </c>
      <c r="N94" s="157">
        <f>Q90-H90</f>
        <v>0.66105769230769296</v>
      </c>
      <c r="O94" s="88" t="s">
        <v>66</v>
      </c>
      <c r="P94" s="88"/>
      <c r="Q94" s="162"/>
      <c r="R94" s="88"/>
    </row>
    <row r="95" spans="1:18" s="73" customFormat="1" ht="19">
      <c r="A95" s="148" t="s">
        <v>67</v>
      </c>
      <c r="B95" s="102" t="s">
        <v>87</v>
      </c>
      <c r="C95" s="118"/>
      <c r="D95" s="118" t="s">
        <v>79</v>
      </c>
      <c r="E95" s="157">
        <f>N91-E91</f>
        <v>45</v>
      </c>
      <c r="F95" s="118" t="s">
        <v>63</v>
      </c>
      <c r="G95" s="118"/>
      <c r="H95" s="120"/>
      <c r="I95" s="118"/>
      <c r="J95" s="88" t="s">
        <v>67</v>
      </c>
      <c r="K95" s="88" t="s">
        <v>87</v>
      </c>
      <c r="L95" s="88"/>
      <c r="M95" s="88" t="s">
        <v>79</v>
      </c>
      <c r="N95" s="157">
        <f>Q91-H91</f>
        <v>66.105769230769198</v>
      </c>
      <c r="O95" s="88" t="s">
        <v>66</v>
      </c>
      <c r="P95" s="88"/>
      <c r="Q95" s="162"/>
      <c r="R95" s="88"/>
    </row>
    <row r="96" spans="1:18" s="73" customFormat="1" ht="19">
      <c r="A96" s="148" t="s">
        <v>68</v>
      </c>
      <c r="B96" s="102" t="s">
        <v>87</v>
      </c>
      <c r="C96" s="118"/>
      <c r="D96" s="118" t="s">
        <v>79</v>
      </c>
      <c r="E96" s="157">
        <f>N92-E92</f>
        <v>14040</v>
      </c>
      <c r="F96" s="118" t="s">
        <v>63</v>
      </c>
      <c r="G96" s="118"/>
      <c r="H96" s="120"/>
      <c r="I96" s="118"/>
      <c r="J96" s="88" t="s">
        <v>68</v>
      </c>
      <c r="K96" s="88" t="s">
        <v>87</v>
      </c>
      <c r="L96" s="88"/>
      <c r="M96" s="88" t="s">
        <v>79</v>
      </c>
      <c r="N96" s="157">
        <f>Q92-H92</f>
        <v>20625</v>
      </c>
      <c r="O96" s="88" t="s">
        <v>66</v>
      </c>
      <c r="P96" s="88"/>
      <c r="Q96" s="162"/>
      <c r="R96" s="88"/>
    </row>
    <row r="97" spans="1:18" ht="21">
      <c r="A97" s="101"/>
      <c r="B97" s="101"/>
      <c r="C97" s="101"/>
      <c r="D97" s="101"/>
      <c r="E97" s="101"/>
      <c r="F97" s="101"/>
      <c r="G97" s="101"/>
      <c r="H97" s="149"/>
      <c r="I97" s="101"/>
      <c r="J97" s="107"/>
      <c r="K97" s="107"/>
      <c r="L97" s="107"/>
      <c r="M97" s="107"/>
      <c r="N97" s="107"/>
      <c r="O97" s="107"/>
      <c r="P97" s="107"/>
      <c r="Q97" s="152"/>
      <c r="R97" s="107"/>
    </row>
    <row r="98" spans="1:18" ht="21">
      <c r="A98" s="227" t="s">
        <v>88</v>
      </c>
      <c r="B98" s="227"/>
      <c r="C98" s="227"/>
      <c r="D98" s="227"/>
      <c r="E98" s="227"/>
      <c r="F98" s="227"/>
      <c r="G98" s="227"/>
      <c r="H98" s="227"/>
      <c r="I98" s="227"/>
      <c r="J98" s="228" t="s">
        <v>89</v>
      </c>
      <c r="K98" s="228"/>
      <c r="L98" s="228"/>
      <c r="M98" s="228"/>
      <c r="N98" s="228"/>
      <c r="O98" s="228"/>
      <c r="P98" s="228"/>
      <c r="Q98" s="228"/>
      <c r="R98" s="228"/>
    </row>
    <row r="99" spans="1:18" ht="21">
      <c r="A99" s="229" t="s">
        <v>90</v>
      </c>
      <c r="B99" s="229"/>
      <c r="C99" s="229"/>
      <c r="D99" s="229"/>
      <c r="E99" s="229"/>
      <c r="F99" s="229"/>
      <c r="G99" s="229"/>
      <c r="H99" s="229"/>
      <c r="I99" s="229"/>
      <c r="J99" s="230" t="s">
        <v>90</v>
      </c>
      <c r="K99" s="230"/>
      <c r="L99" s="230"/>
      <c r="M99" s="230"/>
      <c r="N99" s="230"/>
      <c r="O99" s="230"/>
      <c r="P99" s="230"/>
      <c r="Q99" s="230"/>
      <c r="R99" s="230"/>
    </row>
    <row r="100" spans="1:18" ht="19">
      <c r="A100" s="148" t="s">
        <v>62</v>
      </c>
      <c r="B100" s="155">
        <f>B101/$B$8</f>
        <v>0</v>
      </c>
      <c r="C100" s="102" t="s">
        <v>63</v>
      </c>
      <c r="D100" s="102" t="s">
        <v>64</v>
      </c>
      <c r="E100" s="156">
        <f>B100</f>
        <v>0</v>
      </c>
      <c r="F100" s="102" t="s">
        <v>63</v>
      </c>
      <c r="G100" s="102" t="s">
        <v>65</v>
      </c>
      <c r="H100" s="108">
        <f>E100*'Remuneration scales for staff'!$H$13</f>
        <v>0</v>
      </c>
      <c r="I100" s="102" t="s">
        <v>66</v>
      </c>
      <c r="J100" s="109" t="s">
        <v>62</v>
      </c>
      <c r="K100" s="153">
        <v>1.17</v>
      </c>
      <c r="L100" s="109" t="s">
        <v>63</v>
      </c>
      <c r="M100" s="109" t="s">
        <v>64</v>
      </c>
      <c r="N100" s="105">
        <f>K100</f>
        <v>1.17</v>
      </c>
      <c r="O100" s="109" t="s">
        <v>63</v>
      </c>
      <c r="P100" s="109" t="s">
        <v>65</v>
      </c>
      <c r="Q100" s="108">
        <f>N100*'Remuneration scales for staff'!$H$13</f>
        <v>0.41733203125000001</v>
      </c>
      <c r="R100" s="109" t="s">
        <v>66</v>
      </c>
    </row>
    <row r="101" spans="1:18" ht="19">
      <c r="A101" s="148" t="s">
        <v>67</v>
      </c>
      <c r="B101" s="156">
        <v>0</v>
      </c>
      <c r="C101" s="102" t="s">
        <v>63</v>
      </c>
      <c r="D101" s="102" t="s">
        <v>64</v>
      </c>
      <c r="E101" s="156">
        <f>B101</f>
        <v>0</v>
      </c>
      <c r="F101" s="102" t="s">
        <v>63</v>
      </c>
      <c r="G101" s="102" t="s">
        <v>65</v>
      </c>
      <c r="H101" s="108">
        <f>E101*'Remuneration scales for staff'!$H$13</f>
        <v>0</v>
      </c>
      <c r="I101" s="102" t="s">
        <v>66</v>
      </c>
      <c r="J101" s="109" t="s">
        <v>67</v>
      </c>
      <c r="K101" s="104">
        <f>K100*K5</f>
        <v>117</v>
      </c>
      <c r="L101" s="109" t="s">
        <v>63</v>
      </c>
      <c r="M101" s="109" t="s">
        <v>64</v>
      </c>
      <c r="N101" s="104">
        <f>K101</f>
        <v>117</v>
      </c>
      <c r="O101" s="109" t="s">
        <v>63</v>
      </c>
      <c r="P101" s="109" t="s">
        <v>65</v>
      </c>
      <c r="Q101" s="108">
        <f>N101*'Remuneration scales for staff'!$H$13</f>
        <v>41.733203125000003</v>
      </c>
      <c r="R101" s="109" t="s">
        <v>66</v>
      </c>
    </row>
    <row r="102" spans="1:18" ht="19">
      <c r="A102" s="148" t="s">
        <v>68</v>
      </c>
      <c r="B102" s="156">
        <f>B101*6*52</f>
        <v>0</v>
      </c>
      <c r="C102" s="102" t="s">
        <v>63</v>
      </c>
      <c r="D102" s="102" t="s">
        <v>64</v>
      </c>
      <c r="E102" s="156">
        <f>B102</f>
        <v>0</v>
      </c>
      <c r="F102" s="102" t="s">
        <v>63</v>
      </c>
      <c r="G102" s="102" t="s">
        <v>65</v>
      </c>
      <c r="H102" s="158">
        <f>E102*'Remuneration scales for staff'!$H$13</f>
        <v>0</v>
      </c>
      <c r="I102" s="102" t="s">
        <v>66</v>
      </c>
      <c r="J102" s="109" t="s">
        <v>68</v>
      </c>
      <c r="K102" s="104">
        <f>K101*6*52</f>
        <v>36504</v>
      </c>
      <c r="L102" s="109" t="s">
        <v>63</v>
      </c>
      <c r="M102" s="109" t="s">
        <v>64</v>
      </c>
      <c r="N102" s="104">
        <f>K102</f>
        <v>36504</v>
      </c>
      <c r="O102" s="109" t="s">
        <v>63</v>
      </c>
      <c r="P102" s="109" t="s">
        <v>65</v>
      </c>
      <c r="Q102" s="158">
        <f>N102*'Remuneration scales for staff'!$H$13</f>
        <v>13020.759375</v>
      </c>
      <c r="R102" s="109" t="s">
        <v>66</v>
      </c>
    </row>
    <row r="103" spans="1:18" ht="21">
      <c r="A103" s="102"/>
      <c r="B103" s="154"/>
      <c r="C103" s="102"/>
      <c r="D103" s="102"/>
      <c r="E103" s="101"/>
      <c r="F103" s="102"/>
      <c r="G103" s="102"/>
      <c r="H103" s="149"/>
      <c r="I103" s="102"/>
      <c r="J103" s="109"/>
      <c r="K103" s="160"/>
      <c r="L103" s="109"/>
      <c r="M103" s="109"/>
      <c r="N103" s="160"/>
      <c r="O103" s="109"/>
      <c r="P103" s="109"/>
      <c r="Q103" s="112"/>
      <c r="R103" s="109"/>
    </row>
    <row r="104" spans="1:18" ht="19">
      <c r="A104" s="148" t="s">
        <v>62</v>
      </c>
      <c r="B104" s="102" t="s">
        <v>91</v>
      </c>
      <c r="C104" s="102"/>
      <c r="D104" s="102" t="s">
        <v>64</v>
      </c>
      <c r="E104" s="156">
        <f>E100</f>
        <v>0</v>
      </c>
      <c r="F104" s="102" t="s">
        <v>63</v>
      </c>
      <c r="G104" s="102" t="s">
        <v>65</v>
      </c>
      <c r="H104" s="108">
        <f>H100</f>
        <v>0</v>
      </c>
      <c r="I104" s="102" t="s">
        <v>66</v>
      </c>
      <c r="J104" s="109" t="s">
        <v>62</v>
      </c>
      <c r="K104" s="109" t="s">
        <v>91</v>
      </c>
      <c r="L104" s="109"/>
      <c r="M104" s="109" t="s">
        <v>64</v>
      </c>
      <c r="N104" s="159">
        <f>N100</f>
        <v>1.17</v>
      </c>
      <c r="O104" s="109" t="s">
        <v>63</v>
      </c>
      <c r="P104" s="109" t="s">
        <v>65</v>
      </c>
      <c r="Q104" s="108">
        <f>Q100</f>
        <v>0.41733203125000001</v>
      </c>
      <c r="R104" s="109" t="s">
        <v>66</v>
      </c>
    </row>
    <row r="105" spans="1:18" ht="19">
      <c r="A105" s="148" t="s">
        <v>67</v>
      </c>
      <c r="B105" s="102" t="s">
        <v>91</v>
      </c>
      <c r="C105" s="102"/>
      <c r="D105" s="102" t="s">
        <v>64</v>
      </c>
      <c r="E105" s="156">
        <f>E101</f>
        <v>0</v>
      </c>
      <c r="F105" s="102" t="s">
        <v>63</v>
      </c>
      <c r="G105" s="102" t="s">
        <v>65</v>
      </c>
      <c r="H105" s="108">
        <f>H101</f>
        <v>0</v>
      </c>
      <c r="I105" s="102" t="s">
        <v>66</v>
      </c>
      <c r="J105" s="109" t="s">
        <v>67</v>
      </c>
      <c r="K105" s="109" t="s">
        <v>91</v>
      </c>
      <c r="L105" s="109"/>
      <c r="M105" s="109" t="s">
        <v>64</v>
      </c>
      <c r="N105" s="104">
        <f>N101</f>
        <v>117</v>
      </c>
      <c r="O105" s="109" t="s">
        <v>63</v>
      </c>
      <c r="P105" s="109" t="s">
        <v>65</v>
      </c>
      <c r="Q105" s="108">
        <f>Q101</f>
        <v>41.733203125000003</v>
      </c>
      <c r="R105" s="109" t="s">
        <v>66</v>
      </c>
    </row>
    <row r="106" spans="1:18" ht="19">
      <c r="A106" s="148" t="s">
        <v>68</v>
      </c>
      <c r="B106" s="102" t="s">
        <v>91</v>
      </c>
      <c r="C106" s="102"/>
      <c r="D106" s="102" t="s">
        <v>64</v>
      </c>
      <c r="E106" s="156">
        <f>E102</f>
        <v>0</v>
      </c>
      <c r="F106" s="102" t="s">
        <v>63</v>
      </c>
      <c r="G106" s="102" t="s">
        <v>65</v>
      </c>
      <c r="H106" s="108">
        <f>H102</f>
        <v>0</v>
      </c>
      <c r="I106" s="102" t="s">
        <v>66</v>
      </c>
      <c r="J106" s="109" t="s">
        <v>68</v>
      </c>
      <c r="K106" s="109" t="s">
        <v>91</v>
      </c>
      <c r="L106" s="109"/>
      <c r="M106" s="109" t="s">
        <v>64</v>
      </c>
      <c r="N106" s="104">
        <f>N102</f>
        <v>36504</v>
      </c>
      <c r="O106" s="109" t="s">
        <v>63</v>
      </c>
      <c r="P106" s="109" t="s">
        <v>65</v>
      </c>
      <c r="Q106" s="108">
        <f>Q102</f>
        <v>13020.759375</v>
      </c>
      <c r="R106" s="109" t="s">
        <v>66</v>
      </c>
    </row>
    <row r="107" spans="1:18">
      <c r="A107" s="102"/>
      <c r="B107" s="102"/>
      <c r="C107" s="102"/>
      <c r="D107" s="102"/>
      <c r="E107" s="102"/>
      <c r="F107" s="102"/>
      <c r="G107" s="102"/>
      <c r="H107" s="110"/>
      <c r="I107" s="102"/>
      <c r="J107" s="109"/>
      <c r="K107" s="109"/>
      <c r="L107" s="109"/>
      <c r="M107" s="109"/>
      <c r="N107" s="109"/>
      <c r="O107" s="109"/>
      <c r="P107" s="109"/>
      <c r="Q107" s="112"/>
      <c r="R107" s="109"/>
    </row>
    <row r="108" spans="1:18" s="73" customFormat="1" ht="19">
      <c r="A108" s="148" t="s">
        <v>62</v>
      </c>
      <c r="B108" s="102" t="s">
        <v>91</v>
      </c>
      <c r="C108" s="118"/>
      <c r="D108" s="118" t="s">
        <v>79</v>
      </c>
      <c r="E108" s="157">
        <f>N104-E104</f>
        <v>1.17</v>
      </c>
      <c r="F108" s="118" t="s">
        <v>63</v>
      </c>
      <c r="G108" s="118"/>
      <c r="H108" s="120"/>
      <c r="I108" s="118"/>
      <c r="J108" s="88" t="s">
        <v>62</v>
      </c>
      <c r="K108" s="88" t="s">
        <v>91</v>
      </c>
      <c r="L108" s="88"/>
      <c r="M108" s="88" t="s">
        <v>79</v>
      </c>
      <c r="N108" s="157">
        <f>Q104-H104</f>
        <v>0.41733203125000001</v>
      </c>
      <c r="O108" s="88" t="s">
        <v>66</v>
      </c>
      <c r="P108" s="88"/>
      <c r="Q108" s="162"/>
      <c r="R108" s="88"/>
    </row>
    <row r="109" spans="1:18" s="73" customFormat="1" ht="19">
      <c r="A109" s="148" t="s">
        <v>67</v>
      </c>
      <c r="B109" s="102" t="s">
        <v>91</v>
      </c>
      <c r="C109" s="118"/>
      <c r="D109" s="118" t="s">
        <v>79</v>
      </c>
      <c r="E109" s="157">
        <f>N105-E105</f>
        <v>117</v>
      </c>
      <c r="F109" s="118" t="s">
        <v>63</v>
      </c>
      <c r="G109" s="118"/>
      <c r="H109" s="120"/>
      <c r="I109" s="118"/>
      <c r="J109" s="88" t="s">
        <v>67</v>
      </c>
      <c r="K109" s="88" t="s">
        <v>91</v>
      </c>
      <c r="L109" s="88"/>
      <c r="M109" s="88" t="s">
        <v>79</v>
      </c>
      <c r="N109" s="157">
        <f>Q105-H105</f>
        <v>41.733203125000003</v>
      </c>
      <c r="O109" s="88" t="s">
        <v>66</v>
      </c>
      <c r="P109" s="88"/>
      <c r="Q109" s="162"/>
      <c r="R109" s="88"/>
    </row>
    <row r="110" spans="1:18" s="73" customFormat="1" ht="19">
      <c r="A110" s="148" t="s">
        <v>68</v>
      </c>
      <c r="B110" s="102" t="s">
        <v>91</v>
      </c>
      <c r="C110" s="118"/>
      <c r="D110" s="118" t="s">
        <v>79</v>
      </c>
      <c r="E110" s="157">
        <f>N106-E106</f>
        <v>36504</v>
      </c>
      <c r="F110" s="118" t="s">
        <v>63</v>
      </c>
      <c r="G110" s="118"/>
      <c r="H110" s="120"/>
      <c r="I110" s="118"/>
      <c r="J110" s="88" t="s">
        <v>68</v>
      </c>
      <c r="K110" s="88" t="s">
        <v>91</v>
      </c>
      <c r="L110" s="88"/>
      <c r="M110" s="88" t="s">
        <v>79</v>
      </c>
      <c r="N110" s="157">
        <f>Q106-H106</f>
        <v>13020.759375</v>
      </c>
      <c r="O110" s="88" t="s">
        <v>66</v>
      </c>
      <c r="P110" s="88"/>
      <c r="Q110" s="162"/>
      <c r="R110" s="88"/>
    </row>
    <row r="111" spans="1:18">
      <c r="A111" s="102"/>
      <c r="B111" s="102"/>
      <c r="C111" s="102"/>
      <c r="D111" s="102"/>
      <c r="E111" s="102"/>
      <c r="F111" s="102"/>
      <c r="G111" s="102"/>
      <c r="H111" s="110"/>
      <c r="I111" s="102"/>
      <c r="J111" s="109"/>
      <c r="K111" s="109"/>
      <c r="L111" s="109"/>
      <c r="M111" s="109"/>
      <c r="N111" s="109"/>
      <c r="O111" s="109"/>
      <c r="P111" s="109"/>
      <c r="Q111" s="112"/>
      <c r="R111" s="109"/>
    </row>
    <row r="112" spans="1:18">
      <c r="A112" s="102"/>
      <c r="B112" s="102"/>
      <c r="C112" s="102"/>
      <c r="D112" s="102"/>
      <c r="E112" s="102"/>
      <c r="F112" s="102"/>
      <c r="G112" s="102"/>
      <c r="H112" s="110"/>
      <c r="I112" s="102"/>
      <c r="J112" s="109"/>
      <c r="K112" s="109"/>
      <c r="L112" s="109"/>
      <c r="M112" s="109"/>
      <c r="N112" s="109"/>
      <c r="O112" s="109"/>
      <c r="P112" s="109"/>
      <c r="Q112" s="112"/>
      <c r="R112" s="109"/>
    </row>
    <row r="113" spans="1:18" s="73" customFormat="1" ht="21">
      <c r="A113" s="227" t="s">
        <v>92</v>
      </c>
      <c r="B113" s="227"/>
      <c r="C113" s="227"/>
      <c r="D113" s="227"/>
      <c r="E113" s="227"/>
      <c r="F113" s="227"/>
      <c r="G113" s="227"/>
      <c r="H113" s="227"/>
      <c r="I113" s="227"/>
      <c r="J113" s="228" t="s">
        <v>92</v>
      </c>
      <c r="K113" s="228"/>
      <c r="L113" s="228"/>
      <c r="M113" s="228"/>
      <c r="N113" s="228"/>
      <c r="O113" s="228"/>
      <c r="P113" s="228"/>
      <c r="Q113" s="228"/>
      <c r="R113" s="228"/>
    </row>
    <row r="114" spans="1:18" ht="19">
      <c r="A114" s="148" t="s">
        <v>62</v>
      </c>
      <c r="B114" s="102"/>
      <c r="C114" s="102"/>
      <c r="D114" s="102" t="s">
        <v>64</v>
      </c>
      <c r="E114" s="159">
        <f>E61+E90+E104</f>
        <v>11.42</v>
      </c>
      <c r="F114" s="102" t="s">
        <v>63</v>
      </c>
      <c r="G114" s="102" t="s">
        <v>65</v>
      </c>
      <c r="H114" s="108">
        <f>H61+H90+H104</f>
        <v>18.048878205128201</v>
      </c>
      <c r="I114" s="102" t="s">
        <v>66</v>
      </c>
      <c r="J114" s="109" t="s">
        <v>62</v>
      </c>
      <c r="K114" s="109"/>
      <c r="L114" s="109"/>
      <c r="M114" s="109" t="s">
        <v>64</v>
      </c>
      <c r="N114" s="159">
        <f>N61+N90+N104</f>
        <v>24.7</v>
      </c>
      <c r="O114" s="109" t="s">
        <v>63</v>
      </c>
      <c r="P114" s="109" t="s">
        <v>65</v>
      </c>
      <c r="Q114" s="108">
        <f>Q61+Q90+Q104</f>
        <v>37.813165364583298</v>
      </c>
      <c r="R114" s="109" t="s">
        <v>66</v>
      </c>
    </row>
    <row r="115" spans="1:18" ht="19">
      <c r="A115" s="148" t="s">
        <v>67</v>
      </c>
      <c r="B115" s="102"/>
      <c r="C115" s="102"/>
      <c r="D115" s="102" t="s">
        <v>64</v>
      </c>
      <c r="E115" s="159">
        <f>E62+E91+E105</f>
        <v>1142</v>
      </c>
      <c r="F115" s="102" t="s">
        <v>63</v>
      </c>
      <c r="G115" s="102" t="s">
        <v>65</v>
      </c>
      <c r="H115" s="108">
        <f>H62+H91+H105</f>
        <v>1804.8878205128201</v>
      </c>
      <c r="I115" s="102" t="s">
        <v>66</v>
      </c>
      <c r="J115" s="109" t="s">
        <v>67</v>
      </c>
      <c r="K115" s="109"/>
      <c r="L115" s="109"/>
      <c r="M115" s="109" t="s">
        <v>64</v>
      </c>
      <c r="N115" s="159">
        <f>N62+N91+N105</f>
        <v>2470</v>
      </c>
      <c r="O115" s="109" t="s">
        <v>63</v>
      </c>
      <c r="P115" s="109" t="s">
        <v>65</v>
      </c>
      <c r="Q115" s="108">
        <f>Q62+Q91+Q105</f>
        <v>3781.3165364583301</v>
      </c>
      <c r="R115" s="109" t="s">
        <v>66</v>
      </c>
    </row>
    <row r="116" spans="1:18" ht="19">
      <c r="A116" s="148" t="s">
        <v>68</v>
      </c>
      <c r="B116" s="102"/>
      <c r="C116" s="102"/>
      <c r="D116" s="102" t="s">
        <v>64</v>
      </c>
      <c r="E116" s="159">
        <f>E63+E92+E106</f>
        <v>356304</v>
      </c>
      <c r="F116" s="102" t="s">
        <v>63</v>
      </c>
      <c r="G116" s="102" t="s">
        <v>65</v>
      </c>
      <c r="H116" s="108">
        <f>H63+H92+H106</f>
        <v>563125</v>
      </c>
      <c r="I116" s="102" t="s">
        <v>66</v>
      </c>
      <c r="J116" s="109" t="s">
        <v>68</v>
      </c>
      <c r="K116" s="109"/>
      <c r="L116" s="109"/>
      <c r="M116" s="109" t="s">
        <v>64</v>
      </c>
      <c r="N116" s="159">
        <f>N63+N92+N106</f>
        <v>675901</v>
      </c>
      <c r="O116" s="109" t="s">
        <v>63</v>
      </c>
      <c r="P116" s="109" t="s">
        <v>65</v>
      </c>
      <c r="Q116" s="108">
        <f>Q63+Q92+Q106</f>
        <v>1179770.7593749999</v>
      </c>
      <c r="R116" s="109" t="s">
        <v>66</v>
      </c>
    </row>
    <row r="117" spans="1:18">
      <c r="A117" s="102"/>
      <c r="B117" s="102"/>
      <c r="C117" s="102"/>
      <c r="D117" s="102"/>
      <c r="E117" s="102"/>
      <c r="F117" s="102"/>
      <c r="G117" s="102"/>
      <c r="H117" s="110"/>
      <c r="I117" s="102"/>
      <c r="J117" s="109"/>
      <c r="K117" s="109"/>
      <c r="L117" s="109"/>
      <c r="M117" s="109"/>
      <c r="N117" s="109"/>
      <c r="O117" s="109"/>
      <c r="P117" s="109"/>
      <c r="Q117" s="112"/>
      <c r="R117" s="109"/>
    </row>
    <row r="118" spans="1:18" s="73" customFormat="1" ht="19">
      <c r="A118" s="148" t="s">
        <v>62</v>
      </c>
      <c r="B118" s="118" t="s">
        <v>93</v>
      </c>
      <c r="C118" s="118"/>
      <c r="D118" s="118" t="s">
        <v>79</v>
      </c>
      <c r="E118" s="157">
        <f>N114-E114</f>
        <v>13.28</v>
      </c>
      <c r="F118" s="118" t="s">
        <v>63</v>
      </c>
      <c r="G118" s="118"/>
      <c r="H118" s="120"/>
      <c r="I118" s="118"/>
      <c r="J118" s="88" t="s">
        <v>62</v>
      </c>
      <c r="K118" s="88" t="s">
        <v>93</v>
      </c>
      <c r="L118" s="88"/>
      <c r="M118" s="88" t="s">
        <v>79</v>
      </c>
      <c r="N118" s="161">
        <f>Q114-H114</f>
        <v>19.764287159455101</v>
      </c>
      <c r="O118" s="88" t="s">
        <v>66</v>
      </c>
      <c r="P118" s="88"/>
      <c r="Q118" s="162"/>
      <c r="R118" s="88"/>
    </row>
    <row r="119" spans="1:18" s="73" customFormat="1" ht="19">
      <c r="A119" s="148" t="s">
        <v>67</v>
      </c>
      <c r="B119" s="118" t="s">
        <v>93</v>
      </c>
      <c r="C119" s="118"/>
      <c r="D119" s="118" t="s">
        <v>79</v>
      </c>
      <c r="E119" s="157">
        <f>N115-E115</f>
        <v>1328</v>
      </c>
      <c r="F119" s="118" t="s">
        <v>63</v>
      </c>
      <c r="G119" s="118"/>
      <c r="H119" s="120"/>
      <c r="I119" s="118"/>
      <c r="J119" s="88" t="s">
        <v>67</v>
      </c>
      <c r="K119" s="88" t="s">
        <v>93</v>
      </c>
      <c r="L119" s="88"/>
      <c r="M119" s="88" t="s">
        <v>79</v>
      </c>
      <c r="N119" s="161">
        <f>Q115-H115</f>
        <v>1976.42871594551</v>
      </c>
      <c r="O119" s="88" t="s">
        <v>66</v>
      </c>
      <c r="P119" s="88"/>
      <c r="Q119" s="162"/>
      <c r="R119" s="88"/>
    </row>
    <row r="120" spans="1:18" s="73" customFormat="1" ht="19">
      <c r="A120" s="148" t="s">
        <v>68</v>
      </c>
      <c r="B120" s="118" t="s">
        <v>93</v>
      </c>
      <c r="C120" s="118"/>
      <c r="D120" s="118" t="s">
        <v>79</v>
      </c>
      <c r="E120" s="157">
        <f>N116-E116</f>
        <v>319597</v>
      </c>
      <c r="F120" s="118" t="s">
        <v>63</v>
      </c>
      <c r="G120" s="118"/>
      <c r="H120" s="120"/>
      <c r="I120" s="118"/>
      <c r="J120" s="88" t="s">
        <v>68</v>
      </c>
      <c r="K120" s="88" t="s">
        <v>93</v>
      </c>
      <c r="L120" s="88"/>
      <c r="M120" s="88" t="s">
        <v>79</v>
      </c>
      <c r="N120" s="161">
        <f>Q116-H116</f>
        <v>616645.75937500002</v>
      </c>
      <c r="O120" s="88" t="s">
        <v>66</v>
      </c>
      <c r="P120" s="88"/>
      <c r="Q120" s="162"/>
      <c r="R120" s="88"/>
    </row>
    <row r="121" spans="1:18">
      <c r="A121" s="102"/>
      <c r="B121" s="102"/>
      <c r="C121" s="102"/>
      <c r="D121" s="102"/>
      <c r="E121" s="102"/>
      <c r="F121" s="102"/>
      <c r="G121" s="102"/>
      <c r="H121" s="110"/>
      <c r="I121" s="102"/>
      <c r="J121" s="109"/>
      <c r="K121" s="109"/>
      <c r="L121" s="109"/>
      <c r="M121" s="109"/>
      <c r="N121" s="109"/>
      <c r="O121" s="109"/>
      <c r="P121" s="109"/>
      <c r="Q121" s="112"/>
      <c r="R121" s="109"/>
    </row>
  </sheetData>
  <mergeCells count="42">
    <mergeCell ref="A1:R1"/>
    <mergeCell ref="A2:R2"/>
    <mergeCell ref="A3:I3"/>
    <mergeCell ref="J3:R3"/>
    <mergeCell ref="A4:I4"/>
    <mergeCell ref="J4:R4"/>
    <mergeCell ref="A6:I6"/>
    <mergeCell ref="J6:R6"/>
    <mergeCell ref="A11:I11"/>
    <mergeCell ref="J11:R11"/>
    <mergeCell ref="A20:I20"/>
    <mergeCell ref="J20:R20"/>
    <mergeCell ref="A21:I21"/>
    <mergeCell ref="J21:R21"/>
    <mergeCell ref="A26:I26"/>
    <mergeCell ref="J26:R26"/>
    <mergeCell ref="A31:I31"/>
    <mergeCell ref="J31:R31"/>
    <mergeCell ref="A40:I40"/>
    <mergeCell ref="J40:R40"/>
    <mergeCell ref="A41:I41"/>
    <mergeCell ref="J41:R41"/>
    <mergeCell ref="A46:I46"/>
    <mergeCell ref="J46:R46"/>
    <mergeCell ref="A51:I51"/>
    <mergeCell ref="J51:R51"/>
    <mergeCell ref="A69:I69"/>
    <mergeCell ref="J69:R69"/>
    <mergeCell ref="A70:I70"/>
    <mergeCell ref="J70:R70"/>
    <mergeCell ref="A75:I75"/>
    <mergeCell ref="J75:R75"/>
    <mergeCell ref="A80:I80"/>
    <mergeCell ref="J80:R80"/>
    <mergeCell ref="A85:I85"/>
    <mergeCell ref="J85:R85"/>
    <mergeCell ref="A98:I98"/>
    <mergeCell ref="J98:R98"/>
    <mergeCell ref="A99:I99"/>
    <mergeCell ref="J99:R99"/>
    <mergeCell ref="A113:I113"/>
    <mergeCell ref="J113:R113"/>
  </mergeCells>
  <phoneticPr fontId="5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M40"/>
  <sheetViews>
    <sheetView workbookViewId="0">
      <selection activeCell="C5" sqref="C5"/>
    </sheetView>
  </sheetViews>
  <sheetFormatPr baseColWidth="10" defaultColWidth="8.83203125" defaultRowHeight="18"/>
  <cols>
    <col min="1" max="1" width="29.5" style="72" customWidth="1"/>
    <col min="2" max="2" width="13" style="72" customWidth="1"/>
    <col min="3" max="3" width="24.33203125" style="72" customWidth="1"/>
    <col min="4" max="4" width="23.83203125" style="72" customWidth="1"/>
    <col min="5" max="5" width="23.33203125" style="72" customWidth="1"/>
    <col min="6" max="6" width="13" style="72" customWidth="1"/>
    <col min="7" max="7" width="15.1640625" style="72" customWidth="1"/>
    <col min="8" max="8" width="24.6640625" style="72" customWidth="1"/>
    <col min="9" max="9" width="20.6640625" style="72" customWidth="1"/>
    <col min="10" max="10" width="25.5" style="72" customWidth="1"/>
    <col min="11" max="11" width="32.1640625" style="72" customWidth="1"/>
    <col min="12" max="12" width="26.5" style="72" customWidth="1"/>
    <col min="13" max="13" width="18.6640625" style="72" customWidth="1"/>
    <col min="14" max="14" width="13.5" style="72" customWidth="1"/>
    <col min="15" max="16384" width="8.83203125" style="72"/>
  </cols>
  <sheetData>
    <row r="1" spans="1:12" ht="41" customHeight="1">
      <c r="A1" s="231" t="s">
        <v>55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2" ht="21">
      <c r="A2" s="233" t="s">
        <v>93</v>
      </c>
      <c r="B2" s="233"/>
      <c r="C2" s="233"/>
      <c r="D2" s="233"/>
      <c r="E2" s="233"/>
      <c r="F2" s="234" t="s">
        <v>94</v>
      </c>
      <c r="G2" s="234"/>
      <c r="H2" s="234"/>
      <c r="I2" s="234"/>
      <c r="J2" s="234"/>
    </row>
    <row r="3" spans="1:12">
      <c r="A3" s="124" t="s">
        <v>95</v>
      </c>
      <c r="B3" s="124" t="s">
        <v>96</v>
      </c>
      <c r="C3" s="124" t="s">
        <v>97</v>
      </c>
      <c r="D3" s="124" t="s">
        <v>98</v>
      </c>
      <c r="E3" s="124" t="s">
        <v>99</v>
      </c>
      <c r="F3" s="133" t="s">
        <v>95</v>
      </c>
      <c r="G3" s="134" t="s">
        <v>96</v>
      </c>
      <c r="H3" s="134" t="s">
        <v>97</v>
      </c>
      <c r="I3" s="134" t="s">
        <v>98</v>
      </c>
      <c r="J3" s="134" t="s">
        <v>99</v>
      </c>
      <c r="K3" s="72" t="s">
        <v>3</v>
      </c>
      <c r="L3" s="72" t="s">
        <v>4</v>
      </c>
    </row>
    <row r="4" spans="1:12">
      <c r="A4" s="125" t="s">
        <v>100</v>
      </c>
      <c r="B4" s="125" t="s">
        <v>101</v>
      </c>
      <c r="C4" s="126">
        <v>1895000</v>
      </c>
      <c r="D4" s="127">
        <v>1</v>
      </c>
      <c r="E4" s="135">
        <f>C4*D4</f>
        <v>1895000</v>
      </c>
      <c r="F4" s="136" t="s">
        <v>102</v>
      </c>
      <c r="G4" s="137" t="s">
        <v>103</v>
      </c>
      <c r="H4" s="114">
        <f>IF('Scenario 1'!B3='Scenario 1'!F3,'equipment costs'!L4,'equipment costs'!K4)</f>
        <v>196500</v>
      </c>
      <c r="I4" s="128">
        <f>'Scenario 1'!B4</f>
        <v>50</v>
      </c>
      <c r="J4" s="139">
        <f>H4*I4</f>
        <v>9825000</v>
      </c>
      <c r="K4" s="114">
        <v>196500</v>
      </c>
      <c r="L4" s="114">
        <v>150000</v>
      </c>
    </row>
    <row r="5" spans="1:12">
      <c r="A5" s="125" t="s">
        <v>102</v>
      </c>
      <c r="B5" s="125" t="s">
        <v>101</v>
      </c>
      <c r="C5" s="114">
        <v>190000</v>
      </c>
      <c r="D5" s="128">
        <f>'Scenario 1'!B4</f>
        <v>50</v>
      </c>
      <c r="E5" s="135">
        <f>C5*D5</f>
        <v>9500000</v>
      </c>
      <c r="F5" s="109"/>
      <c r="G5" s="109"/>
      <c r="H5" s="109"/>
      <c r="I5" s="109"/>
      <c r="J5" s="109"/>
    </row>
    <row r="6" spans="1:12">
      <c r="A6" s="102"/>
      <c r="B6" s="102"/>
      <c r="C6" s="102"/>
      <c r="D6" s="102"/>
      <c r="E6" s="102"/>
      <c r="F6" s="109"/>
      <c r="G6" s="109"/>
      <c r="H6" s="109"/>
      <c r="I6" s="109"/>
      <c r="J6" s="109"/>
    </row>
    <row r="7" spans="1:12">
      <c r="A7" s="102"/>
      <c r="B7" s="102"/>
      <c r="C7" s="102" t="s">
        <v>104</v>
      </c>
      <c r="D7" s="119">
        <f>E4+E5</f>
        <v>11395000</v>
      </c>
      <c r="E7" s="102" t="s">
        <v>66</v>
      </c>
      <c r="F7" s="109"/>
      <c r="G7" s="109"/>
      <c r="H7" s="109" t="s">
        <v>104</v>
      </c>
      <c r="I7" s="140">
        <f>J4</f>
        <v>9825000</v>
      </c>
      <c r="J7" s="109" t="s">
        <v>66</v>
      </c>
    </row>
    <row r="8" spans="1:12">
      <c r="A8" s="102"/>
      <c r="B8" s="102"/>
      <c r="C8" s="102"/>
      <c r="D8" s="102"/>
      <c r="E8" s="102"/>
      <c r="F8" s="109"/>
      <c r="G8" s="109"/>
      <c r="H8" s="109"/>
      <c r="I8" s="109"/>
      <c r="J8" s="109"/>
    </row>
    <row r="9" spans="1:12">
      <c r="A9" s="102"/>
      <c r="B9" s="102"/>
      <c r="C9" s="102"/>
      <c r="D9" s="102"/>
      <c r="E9" s="102"/>
      <c r="F9" s="109"/>
      <c r="G9" s="109"/>
      <c r="H9" s="109"/>
      <c r="I9" s="109"/>
      <c r="J9" s="109"/>
    </row>
    <row r="10" spans="1:12">
      <c r="A10" s="124" t="s">
        <v>105</v>
      </c>
      <c r="B10" s="124" t="s">
        <v>96</v>
      </c>
      <c r="C10" s="124" t="s">
        <v>106</v>
      </c>
      <c r="D10" s="124" t="s">
        <v>107</v>
      </c>
      <c r="E10" s="124" t="s">
        <v>99</v>
      </c>
      <c r="F10" s="134" t="s">
        <v>105</v>
      </c>
      <c r="G10" s="134" t="s">
        <v>96</v>
      </c>
      <c r="H10" s="134" t="s">
        <v>106</v>
      </c>
      <c r="I10" s="134" t="s">
        <v>107</v>
      </c>
      <c r="J10" s="134" t="s">
        <v>99</v>
      </c>
      <c r="K10" s="72" t="s">
        <v>108</v>
      </c>
    </row>
    <row r="11" spans="1:12">
      <c r="A11" s="125" t="s">
        <v>100</v>
      </c>
      <c r="B11" s="125" t="s">
        <v>101</v>
      </c>
      <c r="C11" s="127">
        <v>7</v>
      </c>
      <c r="D11" s="129">
        <v>0.02</v>
      </c>
      <c r="E11" s="128">
        <f>(E4-E4*D11)/C11</f>
        <v>265300</v>
      </c>
      <c r="F11" s="138" t="s">
        <v>102</v>
      </c>
      <c r="G11" s="137" t="s">
        <v>103</v>
      </c>
      <c r="H11" s="127">
        <v>7</v>
      </c>
      <c r="I11" s="129">
        <v>0.02</v>
      </c>
      <c r="J11" s="128">
        <f>(J4-J4*I11)/H11</f>
        <v>1375500</v>
      </c>
      <c r="K11" s="72" t="s">
        <v>109</v>
      </c>
    </row>
    <row r="12" spans="1:12">
      <c r="A12" s="125" t="s">
        <v>102</v>
      </c>
      <c r="B12" s="125" t="s">
        <v>101</v>
      </c>
      <c r="C12" s="127">
        <v>7</v>
      </c>
      <c r="D12" s="129">
        <v>0.02</v>
      </c>
      <c r="E12" s="128">
        <f>(E5-E5*D12)/C12</f>
        <v>1330000</v>
      </c>
      <c r="F12" s="109"/>
      <c r="G12" s="109"/>
      <c r="H12" s="109"/>
      <c r="I12" s="109"/>
      <c r="J12" s="109"/>
    </row>
    <row r="13" spans="1:12">
      <c r="A13" s="102"/>
      <c r="B13" s="102"/>
      <c r="C13" s="102"/>
      <c r="D13" s="102"/>
      <c r="E13" s="102"/>
      <c r="F13" s="109"/>
      <c r="G13" s="109"/>
      <c r="H13" s="109"/>
      <c r="I13" s="109"/>
      <c r="J13" s="109"/>
    </row>
    <row r="14" spans="1:12">
      <c r="A14" s="102"/>
      <c r="B14" s="102" t="s">
        <v>110</v>
      </c>
      <c r="C14" s="102"/>
      <c r="D14" s="119">
        <f>E11+E12</f>
        <v>1595300</v>
      </c>
      <c r="E14" s="102" t="s">
        <v>66</v>
      </c>
      <c r="F14" s="109"/>
      <c r="G14" s="109" t="s">
        <v>110</v>
      </c>
      <c r="H14" s="109"/>
      <c r="I14" s="119">
        <f>J11</f>
        <v>1375500</v>
      </c>
      <c r="J14" s="109" t="s">
        <v>66</v>
      </c>
    </row>
    <row r="15" spans="1:12">
      <c r="A15" s="102"/>
      <c r="B15" s="102" t="s">
        <v>111</v>
      </c>
      <c r="C15" s="102"/>
      <c r="D15" s="119">
        <f>D14/52/6</f>
        <v>5113.14102564103</v>
      </c>
      <c r="E15" s="102" t="s">
        <v>66</v>
      </c>
      <c r="F15" s="109"/>
      <c r="G15" s="109" t="s">
        <v>111</v>
      </c>
      <c r="H15" s="109"/>
      <c r="I15" s="119">
        <f>I14/52/6</f>
        <v>4408.6538461538503</v>
      </c>
      <c r="J15" s="109" t="s">
        <v>66</v>
      </c>
    </row>
    <row r="16" spans="1:12">
      <c r="A16" s="102"/>
      <c r="B16" s="102" t="s">
        <v>112</v>
      </c>
      <c r="C16" s="102"/>
      <c r="D16" s="119">
        <f>D15/' labor costs'!B5</f>
        <v>51.131410256410298</v>
      </c>
      <c r="E16" s="102" t="s">
        <v>66</v>
      </c>
      <c r="F16" s="109"/>
      <c r="G16" s="109" t="s">
        <v>112</v>
      </c>
      <c r="H16" s="109"/>
      <c r="I16" s="119">
        <f>I15/' labor costs'!K5</f>
        <v>44.086538461538503</v>
      </c>
      <c r="J16" s="109" t="s">
        <v>66</v>
      </c>
    </row>
    <row r="17" spans="1:13">
      <c r="A17" s="102"/>
      <c r="B17" s="102"/>
      <c r="C17" s="102"/>
      <c r="D17" s="130"/>
      <c r="E17" s="102"/>
      <c r="F17" s="109"/>
      <c r="G17" s="109"/>
      <c r="H17" s="109"/>
      <c r="I17" s="109"/>
      <c r="J17" s="109"/>
    </row>
    <row r="18" spans="1:13" s="73" customFormat="1">
      <c r="A18" s="118"/>
      <c r="B18" s="118"/>
      <c r="C18" s="118"/>
      <c r="D18" s="118"/>
      <c r="E18" s="118"/>
      <c r="F18" s="88"/>
      <c r="G18" s="88" t="s">
        <v>113</v>
      </c>
      <c r="H18" s="88"/>
      <c r="I18" s="141">
        <f>I14-D14</f>
        <v>-219800</v>
      </c>
      <c r="J18" s="88" t="s">
        <v>66</v>
      </c>
    </row>
    <row r="19" spans="1:13" s="73" customFormat="1">
      <c r="A19" s="118"/>
      <c r="B19" s="118"/>
      <c r="C19" s="118"/>
      <c r="D19" s="118"/>
      <c r="E19" s="118"/>
      <c r="F19" s="88"/>
      <c r="G19" s="88" t="s">
        <v>114</v>
      </c>
      <c r="H19" s="88"/>
      <c r="I19" s="141">
        <f>I15-D15</f>
        <v>-704.48717948717899</v>
      </c>
      <c r="J19" s="88" t="s">
        <v>66</v>
      </c>
    </row>
    <row r="20" spans="1:13" s="73" customFormat="1">
      <c r="A20" s="118"/>
      <c r="B20" s="118"/>
      <c r="C20" s="118"/>
      <c r="D20" s="118"/>
      <c r="E20" s="118"/>
      <c r="F20" s="88"/>
      <c r="G20" s="88" t="s">
        <v>115</v>
      </c>
      <c r="H20" s="88"/>
      <c r="I20" s="141">
        <f>I16-D16</f>
        <v>-7.0448717948717903</v>
      </c>
      <c r="J20" s="88" t="s">
        <v>66</v>
      </c>
    </row>
    <row r="21" spans="1:13">
      <c r="A21" s="102"/>
      <c r="B21" s="102"/>
      <c r="C21" s="102"/>
      <c r="D21" s="102"/>
      <c r="E21" s="102"/>
      <c r="F21" s="109"/>
      <c r="G21" s="109"/>
      <c r="H21" s="109"/>
      <c r="I21" s="109"/>
      <c r="J21" s="109"/>
    </row>
    <row r="22" spans="1:13">
      <c r="A22" s="124" t="s">
        <v>116</v>
      </c>
      <c r="B22" s="124" t="s">
        <v>96</v>
      </c>
      <c r="C22" s="124" t="s">
        <v>117</v>
      </c>
      <c r="D22" s="124" t="s">
        <v>118</v>
      </c>
      <c r="E22" s="102"/>
      <c r="F22" s="134" t="s">
        <v>116</v>
      </c>
      <c r="G22" s="134" t="s">
        <v>96</v>
      </c>
      <c r="H22" s="134" t="s">
        <v>117</v>
      </c>
      <c r="I22" s="134" t="s">
        <v>118</v>
      </c>
      <c r="J22" s="109"/>
      <c r="L22" s="72" t="s">
        <v>93</v>
      </c>
      <c r="M22" s="72" t="s">
        <v>94</v>
      </c>
    </row>
    <row r="23" spans="1:13" s="123" customFormat="1" ht="76">
      <c r="A23" s="55" t="s">
        <v>119</v>
      </c>
      <c r="B23" s="55" t="s">
        <v>101</v>
      </c>
      <c r="C23" s="114">
        <f>IF('Scenario 1'!B3='Scenario 1'!F3,L24,L23)</f>
        <v>4400</v>
      </c>
      <c r="D23" s="131">
        <f>C23*'Scenario 1'!B4</f>
        <v>220000</v>
      </c>
      <c r="E23" s="102"/>
      <c r="F23" s="138" t="s">
        <v>102</v>
      </c>
      <c r="G23" s="137" t="s">
        <v>103</v>
      </c>
      <c r="H23" s="114">
        <f>IF('Scenario 1'!B3='Scenario 1'!F3,M24,M23)</f>
        <v>9080</v>
      </c>
      <c r="I23" s="142">
        <f>H23*'Scenario 1'!B4</f>
        <v>454000</v>
      </c>
      <c r="J23" s="109"/>
      <c r="K23" s="72" t="s">
        <v>3</v>
      </c>
      <c r="L23" s="143">
        <v>4400</v>
      </c>
      <c r="M23" s="143">
        <v>9080</v>
      </c>
    </row>
    <row r="24" spans="1:13">
      <c r="A24" s="102"/>
      <c r="B24" s="102"/>
      <c r="C24" s="102"/>
      <c r="D24" s="102"/>
      <c r="E24" s="102"/>
      <c r="F24" s="109"/>
      <c r="G24" s="109"/>
      <c r="H24" s="109"/>
      <c r="I24" s="109"/>
      <c r="J24" s="109"/>
      <c r="K24" s="72" t="s">
        <v>4</v>
      </c>
      <c r="L24" s="143">
        <v>4483</v>
      </c>
      <c r="M24" s="143">
        <v>6763.3333333333303</v>
      </c>
    </row>
    <row r="25" spans="1:13">
      <c r="A25" s="102"/>
      <c r="B25" s="102" t="s">
        <v>120</v>
      </c>
      <c r="C25" s="102"/>
      <c r="D25" s="108">
        <f>D23</f>
        <v>220000</v>
      </c>
      <c r="E25" s="102" t="s">
        <v>66</v>
      </c>
      <c r="F25" s="109"/>
      <c r="G25" s="109" t="s">
        <v>120</v>
      </c>
      <c r="H25" s="109"/>
      <c r="I25" s="108">
        <f>I23</f>
        <v>454000</v>
      </c>
      <c r="J25" s="109" t="s">
        <v>66</v>
      </c>
    </row>
    <row r="26" spans="1:13">
      <c r="A26" s="102"/>
      <c r="B26" s="102" t="s">
        <v>121</v>
      </c>
      <c r="C26" s="102"/>
      <c r="D26" s="108">
        <f>D25/52/6</f>
        <v>705.12820512820497</v>
      </c>
      <c r="E26" s="102" t="s">
        <v>66</v>
      </c>
      <c r="F26" s="109"/>
      <c r="G26" s="109" t="s">
        <v>121</v>
      </c>
      <c r="H26" s="109"/>
      <c r="I26" s="108">
        <f>I25/52/6</f>
        <v>1455.1282051282101</v>
      </c>
      <c r="J26" s="109" t="s">
        <v>66</v>
      </c>
    </row>
    <row r="27" spans="1:13">
      <c r="A27" s="102"/>
      <c r="B27" s="102" t="s">
        <v>122</v>
      </c>
      <c r="C27" s="102"/>
      <c r="D27" s="108">
        <f>D26/' labor costs'!B5</f>
        <v>7.0512820512820502</v>
      </c>
      <c r="E27" s="102" t="s">
        <v>66</v>
      </c>
      <c r="F27" s="109"/>
      <c r="G27" s="109" t="s">
        <v>122</v>
      </c>
      <c r="H27" s="109"/>
      <c r="I27" s="108">
        <f>I26/' labor costs'!K5</f>
        <v>14.551282051282101</v>
      </c>
      <c r="J27" s="109" t="s">
        <v>66</v>
      </c>
    </row>
    <row r="28" spans="1:13">
      <c r="A28" s="102"/>
      <c r="B28" s="102"/>
      <c r="C28" s="102"/>
      <c r="D28" s="118"/>
      <c r="E28" s="102"/>
      <c r="F28" s="109"/>
      <c r="G28" s="109"/>
      <c r="H28" s="109"/>
      <c r="I28" s="109"/>
      <c r="J28" s="109"/>
    </row>
    <row r="29" spans="1:13" s="73" customFormat="1">
      <c r="A29" s="118"/>
      <c r="B29" s="118"/>
      <c r="C29" s="118"/>
      <c r="D29" s="118"/>
      <c r="E29" s="118"/>
      <c r="F29" s="88"/>
      <c r="G29" s="88" t="s">
        <v>123</v>
      </c>
      <c r="H29" s="88"/>
      <c r="I29" s="141">
        <f>I25-D25</f>
        <v>234000</v>
      </c>
      <c r="J29" s="88" t="s">
        <v>66</v>
      </c>
    </row>
    <row r="30" spans="1:13" s="73" customFormat="1">
      <c r="A30" s="118"/>
      <c r="B30" s="118"/>
      <c r="C30" s="118"/>
      <c r="D30" s="118"/>
      <c r="E30" s="118"/>
      <c r="F30" s="88"/>
      <c r="G30" s="88" t="s">
        <v>124</v>
      </c>
      <c r="H30" s="88"/>
      <c r="I30" s="141">
        <f>I26-D26</f>
        <v>750</v>
      </c>
      <c r="J30" s="88" t="s">
        <v>66</v>
      </c>
    </row>
    <row r="31" spans="1:13" s="73" customFormat="1">
      <c r="A31" s="118"/>
      <c r="B31" s="118"/>
      <c r="C31" s="118"/>
      <c r="D31" s="118"/>
      <c r="E31" s="118"/>
      <c r="F31" s="88"/>
      <c r="G31" s="88" t="s">
        <v>125</v>
      </c>
      <c r="H31" s="88"/>
      <c r="I31" s="141">
        <f>I27-D27</f>
        <v>7.5</v>
      </c>
      <c r="J31" s="88" t="s">
        <v>66</v>
      </c>
    </row>
    <row r="32" spans="1:13" s="73" customFormat="1">
      <c r="A32" s="118"/>
      <c r="B32" s="118"/>
      <c r="C32" s="118"/>
      <c r="D32" s="118"/>
      <c r="E32" s="118"/>
      <c r="F32" s="88"/>
      <c r="G32" s="88"/>
      <c r="H32" s="88"/>
      <c r="I32" s="88"/>
      <c r="J32" s="88"/>
    </row>
    <row r="33" spans="1:10">
      <c r="A33" s="102"/>
      <c r="B33" s="102" t="s">
        <v>126</v>
      </c>
      <c r="C33" s="102"/>
      <c r="D33" s="119">
        <f>D16+D27</f>
        <v>58.182692307692299</v>
      </c>
      <c r="E33" s="102" t="s">
        <v>66</v>
      </c>
      <c r="F33" s="109"/>
      <c r="G33" s="109" t="s">
        <v>126</v>
      </c>
      <c r="H33" s="109"/>
      <c r="I33" s="119">
        <f>I16+I27</f>
        <v>58.637820512820497</v>
      </c>
      <c r="J33" s="109" t="s">
        <v>66</v>
      </c>
    </row>
    <row r="34" spans="1:10">
      <c r="A34" s="102"/>
      <c r="B34" s="102" t="s">
        <v>127</v>
      </c>
      <c r="C34" s="102"/>
      <c r="D34" s="119">
        <f>D15+D26</f>
        <v>5818.2692307692296</v>
      </c>
      <c r="E34" s="102" t="s">
        <v>66</v>
      </c>
      <c r="F34" s="109"/>
      <c r="G34" s="109" t="s">
        <v>127</v>
      </c>
      <c r="H34" s="109"/>
      <c r="I34" s="119">
        <f>I15+I26</f>
        <v>5863.7820512820499</v>
      </c>
      <c r="J34" s="109" t="s">
        <v>66</v>
      </c>
    </row>
    <row r="35" spans="1:10">
      <c r="A35" s="102"/>
      <c r="B35" s="102" t="s">
        <v>128</v>
      </c>
      <c r="C35" s="102"/>
      <c r="D35" s="119">
        <f>D14+D25</f>
        <v>1815300</v>
      </c>
      <c r="E35" s="102" t="s">
        <v>66</v>
      </c>
      <c r="F35" s="109"/>
      <c r="G35" s="109" t="s">
        <v>128</v>
      </c>
      <c r="H35" s="109"/>
      <c r="I35" s="119">
        <f>I14+I25</f>
        <v>1829500</v>
      </c>
      <c r="J35" s="109" t="s">
        <v>66</v>
      </c>
    </row>
    <row r="36" spans="1:10">
      <c r="A36" s="102"/>
      <c r="B36" s="102"/>
      <c r="C36" s="102"/>
      <c r="D36" s="132"/>
      <c r="E36" s="102"/>
      <c r="F36" s="109"/>
      <c r="G36" s="109"/>
      <c r="H36" s="109"/>
      <c r="I36" s="144"/>
      <c r="J36" s="109"/>
    </row>
    <row r="37" spans="1:10" s="73" customFormat="1">
      <c r="A37" s="118"/>
      <c r="B37" s="118"/>
      <c r="C37" s="118"/>
      <c r="D37" s="118"/>
      <c r="E37" s="118"/>
      <c r="F37" s="88"/>
      <c r="G37" s="88" t="s">
        <v>129</v>
      </c>
      <c r="H37" s="88"/>
      <c r="I37" s="141">
        <f>I33-D33</f>
        <v>0.455128205128212</v>
      </c>
      <c r="J37" s="88" t="s">
        <v>66</v>
      </c>
    </row>
    <row r="38" spans="1:10" s="73" customFormat="1">
      <c r="A38" s="118"/>
      <c r="B38" s="118"/>
      <c r="C38" s="118"/>
      <c r="D38" s="118"/>
      <c r="E38" s="118"/>
      <c r="F38" s="88"/>
      <c r="G38" s="88" t="s">
        <v>130</v>
      </c>
      <c r="H38" s="88"/>
      <c r="I38" s="141">
        <f>I34-D34</f>
        <v>45.5128205128212</v>
      </c>
      <c r="J38" s="88" t="s">
        <v>66</v>
      </c>
    </row>
    <row r="39" spans="1:10" s="73" customFormat="1">
      <c r="A39" s="118"/>
      <c r="B39" s="118"/>
      <c r="C39" s="118"/>
      <c r="D39" s="118"/>
      <c r="E39" s="118"/>
      <c r="F39" s="88"/>
      <c r="G39" s="88" t="s">
        <v>131</v>
      </c>
      <c r="H39" s="88"/>
      <c r="I39" s="141">
        <f>I35-D35</f>
        <v>14200</v>
      </c>
      <c r="J39" s="88" t="s">
        <v>66</v>
      </c>
    </row>
    <row r="40" spans="1:10">
      <c r="A40" s="102"/>
      <c r="B40" s="102"/>
      <c r="C40" s="102"/>
      <c r="D40" s="102"/>
      <c r="E40" s="102"/>
      <c r="F40" s="109"/>
      <c r="G40" s="109"/>
      <c r="H40" s="109"/>
      <c r="I40" s="145"/>
      <c r="J40" s="109"/>
    </row>
  </sheetData>
  <mergeCells count="3">
    <mergeCell ref="A1:J1"/>
    <mergeCell ref="A2:E2"/>
    <mergeCell ref="F2:J2"/>
  </mergeCells>
  <phoneticPr fontId="5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N194"/>
  <sheetViews>
    <sheetView workbookViewId="0">
      <selection activeCell="E5" sqref="E5"/>
    </sheetView>
  </sheetViews>
  <sheetFormatPr baseColWidth="10" defaultColWidth="11" defaultRowHeight="16"/>
  <cols>
    <col min="1" max="1" width="31.33203125" customWidth="1"/>
    <col min="5" max="5" width="18.1640625" style="100" customWidth="1"/>
    <col min="7" max="7" width="31" customWidth="1"/>
    <col min="8" max="8" width="19.83203125" customWidth="1"/>
    <col min="9" max="9" width="20.33203125" customWidth="1"/>
    <col min="11" max="11" width="17.33203125" style="100" customWidth="1"/>
    <col min="12" max="12" width="18.1640625" customWidth="1"/>
    <col min="13" max="13" width="39.33203125" customWidth="1"/>
    <col min="14" max="14" width="35.83203125" customWidth="1"/>
    <col min="15" max="15" width="28.5" customWidth="1"/>
  </cols>
  <sheetData>
    <row r="1" spans="1:14" s="72" customFormat="1" ht="41" customHeight="1">
      <c r="A1" s="231" t="s">
        <v>55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1:14" s="72" customFormat="1" ht="33" customHeight="1">
      <c r="A2" s="232" t="s">
        <v>132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</row>
    <row r="3" spans="1:14" ht="21">
      <c r="A3" s="227" t="s">
        <v>93</v>
      </c>
      <c r="B3" s="227"/>
      <c r="C3" s="227"/>
      <c r="D3" s="227"/>
      <c r="E3" s="227"/>
      <c r="F3" s="227"/>
      <c r="G3" s="228" t="s">
        <v>94</v>
      </c>
      <c r="H3" s="228"/>
      <c r="I3" s="228"/>
      <c r="J3" s="228"/>
      <c r="K3" s="228"/>
      <c r="L3" s="228"/>
    </row>
    <row r="4" spans="1:14" ht="21">
      <c r="A4" s="229" t="s">
        <v>59</v>
      </c>
      <c r="B4" s="229"/>
      <c r="C4" s="229"/>
      <c r="D4" s="229"/>
      <c r="E4" s="229"/>
      <c r="F4" s="229"/>
      <c r="G4" s="230" t="s">
        <v>59</v>
      </c>
      <c r="H4" s="230"/>
      <c r="I4" s="230"/>
      <c r="J4" s="230"/>
      <c r="K4" s="230"/>
      <c r="L4" s="230"/>
      <c r="M4" s="72" t="s">
        <v>133</v>
      </c>
      <c r="N4" s="72" t="s">
        <v>5</v>
      </c>
    </row>
    <row r="5" spans="1:14" ht="18">
      <c r="A5" s="102" t="s">
        <v>134</v>
      </c>
      <c r="B5" s="103">
        <v>1</v>
      </c>
      <c r="C5" s="102" t="s">
        <v>135</v>
      </c>
      <c r="D5" s="102" t="s">
        <v>65</v>
      </c>
      <c r="E5" s="108">
        <f>B5*'Unit price of consumables'!B6</f>
        <v>29.3333333333333</v>
      </c>
      <c r="F5" s="102" t="s">
        <v>66</v>
      </c>
      <c r="G5" s="109" t="s">
        <v>134</v>
      </c>
      <c r="H5" s="103">
        <v>1</v>
      </c>
      <c r="I5" s="109" t="s">
        <v>135</v>
      </c>
      <c r="J5" s="109" t="s">
        <v>65</v>
      </c>
      <c r="K5" s="108">
        <f>H5*IF('Scenario 1'!B3='Scenario 1'!F3,N5,M5)</f>
        <v>48.6666666666667</v>
      </c>
      <c r="L5" s="109" t="s">
        <v>66</v>
      </c>
      <c r="M5" s="114">
        <f>'Unit price of consumables'!B4</f>
        <v>48.6666666666667</v>
      </c>
      <c r="N5" s="114">
        <f>'Unit price of consumables'!B5</f>
        <v>27.75</v>
      </c>
    </row>
    <row r="6" spans="1:14" ht="18">
      <c r="A6" s="102" t="s">
        <v>136</v>
      </c>
      <c r="B6" s="104">
        <f>B5*'Scenario 1'!B5</f>
        <v>100</v>
      </c>
      <c r="C6" s="102" t="s">
        <v>135</v>
      </c>
      <c r="D6" s="102" t="s">
        <v>65</v>
      </c>
      <c r="E6" s="108">
        <f>B6*E5</f>
        <v>2933.3333333333298</v>
      </c>
      <c r="F6" s="102" t="s">
        <v>66</v>
      </c>
      <c r="G6" s="109" t="s">
        <v>136</v>
      </c>
      <c r="H6" s="104">
        <f>H5*'Scenario 1'!B5</f>
        <v>100</v>
      </c>
      <c r="I6" s="109" t="s">
        <v>135</v>
      </c>
      <c r="J6" s="109" t="s">
        <v>65</v>
      </c>
      <c r="K6" s="108">
        <f>H6*K5</f>
        <v>4866.6666666666697</v>
      </c>
      <c r="L6" s="109" t="s">
        <v>66</v>
      </c>
      <c r="M6" s="115"/>
    </row>
    <row r="7" spans="1:14" ht="18">
      <c r="A7" s="102" t="s">
        <v>137</v>
      </c>
      <c r="B7" s="104">
        <f>B6*6*52</f>
        <v>31200</v>
      </c>
      <c r="C7" s="102" t="s">
        <v>135</v>
      </c>
      <c r="D7" s="102" t="s">
        <v>65</v>
      </c>
      <c r="E7" s="108">
        <f>B7*E5</f>
        <v>915200</v>
      </c>
      <c r="F7" s="102" t="s">
        <v>66</v>
      </c>
      <c r="G7" s="109" t="s">
        <v>137</v>
      </c>
      <c r="H7" s="104">
        <f>H6*6*52</f>
        <v>31200</v>
      </c>
      <c r="I7" s="109" t="s">
        <v>135</v>
      </c>
      <c r="J7" s="109" t="s">
        <v>65</v>
      </c>
      <c r="K7" s="108">
        <f>H7*K5</f>
        <v>1518400</v>
      </c>
      <c r="L7" s="109" t="s">
        <v>66</v>
      </c>
    </row>
    <row r="8" spans="1:14" ht="18">
      <c r="A8" s="102"/>
      <c r="B8" s="102"/>
      <c r="C8" s="102"/>
      <c r="D8" s="102"/>
      <c r="E8" s="110"/>
      <c r="F8" s="102"/>
      <c r="G8" s="109"/>
      <c r="H8" s="109"/>
      <c r="I8" s="109"/>
      <c r="J8" s="109"/>
      <c r="K8" s="112"/>
      <c r="L8" s="109"/>
    </row>
    <row r="9" spans="1:14" ht="18">
      <c r="A9" s="102" t="s">
        <v>138</v>
      </c>
      <c r="B9" s="103">
        <v>1</v>
      </c>
      <c r="C9" s="102" t="s">
        <v>135</v>
      </c>
      <c r="D9" s="102" t="s">
        <v>65</v>
      </c>
      <c r="E9" s="108">
        <f>B9*'Unit price of consumables'!B7</f>
        <v>10.38</v>
      </c>
      <c r="F9" s="102" t="s">
        <v>66</v>
      </c>
      <c r="G9" s="109" t="s">
        <v>138</v>
      </c>
      <c r="H9" s="103">
        <v>1</v>
      </c>
      <c r="I9" s="109" t="s">
        <v>135</v>
      </c>
      <c r="J9" s="109" t="s">
        <v>65</v>
      </c>
      <c r="K9" s="108">
        <f>H9*'Unit price of consumables'!B7</f>
        <v>10.38</v>
      </c>
      <c r="L9" s="109" t="s">
        <v>66</v>
      </c>
    </row>
    <row r="10" spans="1:14" ht="18">
      <c r="A10" s="102" t="s">
        <v>139</v>
      </c>
      <c r="B10" s="104">
        <f>B9*'Scenario 1'!B5</f>
        <v>100</v>
      </c>
      <c r="C10" s="102" t="s">
        <v>135</v>
      </c>
      <c r="D10" s="102" t="s">
        <v>65</v>
      </c>
      <c r="E10" s="108">
        <f>B10*E9</f>
        <v>1038</v>
      </c>
      <c r="F10" s="102" t="s">
        <v>66</v>
      </c>
      <c r="G10" s="109" t="s">
        <v>139</v>
      </c>
      <c r="H10" s="104">
        <f>H9*'Scenario 1'!B5</f>
        <v>100</v>
      </c>
      <c r="I10" s="109" t="s">
        <v>135</v>
      </c>
      <c r="J10" s="109" t="s">
        <v>65</v>
      </c>
      <c r="K10" s="108">
        <f>H10*K9</f>
        <v>1038</v>
      </c>
      <c r="L10" s="109" t="s">
        <v>66</v>
      </c>
    </row>
    <row r="11" spans="1:14" ht="18">
      <c r="A11" s="102" t="s">
        <v>140</v>
      </c>
      <c r="B11" s="104">
        <f>B10*6*52</f>
        <v>31200</v>
      </c>
      <c r="C11" s="102" t="s">
        <v>135</v>
      </c>
      <c r="D11" s="102" t="s">
        <v>65</v>
      </c>
      <c r="E11" s="108">
        <f>B11*E9</f>
        <v>323856</v>
      </c>
      <c r="F11" s="102" t="s">
        <v>66</v>
      </c>
      <c r="G11" s="109" t="s">
        <v>140</v>
      </c>
      <c r="H11" s="104">
        <f>H10*6*52</f>
        <v>31200</v>
      </c>
      <c r="I11" s="109" t="s">
        <v>135</v>
      </c>
      <c r="J11" s="109" t="s">
        <v>65</v>
      </c>
      <c r="K11" s="108">
        <f>H11*K9</f>
        <v>323856</v>
      </c>
      <c r="L11" s="109" t="s">
        <v>66</v>
      </c>
    </row>
    <row r="12" spans="1:14" ht="18">
      <c r="A12" s="102"/>
      <c r="B12" s="102"/>
      <c r="C12" s="102"/>
      <c r="D12" s="102"/>
      <c r="E12" s="110"/>
      <c r="F12" s="102"/>
      <c r="G12" s="109"/>
      <c r="H12" s="109"/>
      <c r="I12" s="109"/>
      <c r="J12" s="109"/>
      <c r="K12" s="112"/>
      <c r="L12" s="109"/>
    </row>
    <row r="13" spans="1:14" ht="18">
      <c r="A13" s="102" t="s">
        <v>141</v>
      </c>
      <c r="B13" s="103">
        <v>1</v>
      </c>
      <c r="C13" s="102" t="s">
        <v>135</v>
      </c>
      <c r="D13" s="102" t="s">
        <v>65</v>
      </c>
      <c r="E13" s="108">
        <f>B13*'Unit price of consumables'!B8</f>
        <v>35.2222222222222</v>
      </c>
      <c r="F13" s="102" t="s">
        <v>66</v>
      </c>
      <c r="G13" s="109" t="s">
        <v>142</v>
      </c>
      <c r="H13" s="103">
        <v>1</v>
      </c>
      <c r="I13" s="109" t="s">
        <v>135</v>
      </c>
      <c r="J13" s="109" t="s">
        <v>65</v>
      </c>
      <c r="K13" s="108">
        <f>H13*'Unit price of consumables'!B11</f>
        <v>42.6666666666667</v>
      </c>
      <c r="L13" s="109" t="s">
        <v>66</v>
      </c>
    </row>
    <row r="14" spans="1:14" ht="18">
      <c r="A14" s="102" t="s">
        <v>143</v>
      </c>
      <c r="B14" s="104">
        <f>B13*'Scenario 1'!B5</f>
        <v>100</v>
      </c>
      <c r="C14" s="102" t="s">
        <v>135</v>
      </c>
      <c r="D14" s="102" t="s">
        <v>65</v>
      </c>
      <c r="E14" s="108">
        <f>B14*E13</f>
        <v>3522.2222222222199</v>
      </c>
      <c r="F14" s="102" t="s">
        <v>66</v>
      </c>
      <c r="G14" s="109" t="s">
        <v>144</v>
      </c>
      <c r="H14" s="104">
        <f>H13*'Scenario 1'!B5</f>
        <v>100</v>
      </c>
      <c r="I14" s="109" t="s">
        <v>135</v>
      </c>
      <c r="J14" s="109" t="s">
        <v>65</v>
      </c>
      <c r="K14" s="108">
        <f>H14*K13</f>
        <v>4266.6666666666697</v>
      </c>
      <c r="L14" s="109" t="s">
        <v>66</v>
      </c>
    </row>
    <row r="15" spans="1:14" ht="18">
      <c r="A15" s="102" t="s">
        <v>145</v>
      </c>
      <c r="B15" s="104">
        <f>B14*6*52</f>
        <v>31200</v>
      </c>
      <c r="C15" s="102" t="s">
        <v>135</v>
      </c>
      <c r="D15" s="102" t="s">
        <v>65</v>
      </c>
      <c r="E15" s="108">
        <f>B15*E13</f>
        <v>1098933.33333333</v>
      </c>
      <c r="F15" s="102" t="s">
        <v>66</v>
      </c>
      <c r="G15" s="109" t="s">
        <v>146</v>
      </c>
      <c r="H15" s="104">
        <f>H14*6*52</f>
        <v>31200</v>
      </c>
      <c r="I15" s="109" t="s">
        <v>135</v>
      </c>
      <c r="J15" s="109" t="s">
        <v>65</v>
      </c>
      <c r="K15" s="108">
        <f>H15*K13</f>
        <v>1331200</v>
      </c>
      <c r="L15" s="109" t="s">
        <v>66</v>
      </c>
    </row>
    <row r="16" spans="1:14" ht="18">
      <c r="A16" s="102"/>
      <c r="B16" s="102"/>
      <c r="C16" s="102"/>
      <c r="D16" s="102"/>
      <c r="E16" s="111"/>
      <c r="F16" s="102"/>
      <c r="G16" s="109"/>
      <c r="H16" s="109"/>
      <c r="I16" s="109"/>
      <c r="J16" s="109"/>
      <c r="K16" s="112"/>
      <c r="L16" s="109"/>
    </row>
    <row r="17" spans="1:12" ht="18">
      <c r="A17" s="102" t="s">
        <v>147</v>
      </c>
      <c r="B17" s="103">
        <v>1</v>
      </c>
      <c r="C17" s="102" t="s">
        <v>135</v>
      </c>
      <c r="D17" s="102" t="s">
        <v>65</v>
      </c>
      <c r="E17" s="108">
        <f>B17*'Unit price of consumables'!B8</f>
        <v>35.2222222222222</v>
      </c>
      <c r="F17" s="102" t="s">
        <v>66</v>
      </c>
      <c r="G17" s="109" t="s">
        <v>148</v>
      </c>
      <c r="H17" s="103">
        <v>1</v>
      </c>
      <c r="I17" s="109" t="s">
        <v>135</v>
      </c>
      <c r="J17" s="109" t="s">
        <v>65</v>
      </c>
      <c r="K17" s="108">
        <f>H17*'Unit price of consumables'!B15</f>
        <v>32</v>
      </c>
      <c r="L17" s="109" t="s">
        <v>66</v>
      </c>
    </row>
    <row r="18" spans="1:12" ht="18">
      <c r="A18" s="102" t="s">
        <v>149</v>
      </c>
      <c r="B18" s="104">
        <f>B17*'Scenario 1'!B5</f>
        <v>100</v>
      </c>
      <c r="C18" s="102" t="s">
        <v>135</v>
      </c>
      <c r="D18" s="102" t="s">
        <v>65</v>
      </c>
      <c r="E18" s="108">
        <f>B18*E17</f>
        <v>3522.2222222222199</v>
      </c>
      <c r="F18" s="102" t="s">
        <v>66</v>
      </c>
      <c r="G18" s="109" t="s">
        <v>150</v>
      </c>
      <c r="H18" s="104">
        <f>H17*'Scenario 1'!B5</f>
        <v>100</v>
      </c>
      <c r="I18" s="109" t="s">
        <v>135</v>
      </c>
      <c r="J18" s="109" t="s">
        <v>65</v>
      </c>
      <c r="K18" s="108">
        <f>H18*K17</f>
        <v>3200</v>
      </c>
      <c r="L18" s="109" t="s">
        <v>66</v>
      </c>
    </row>
    <row r="19" spans="1:12" ht="18">
      <c r="A19" s="102" t="s">
        <v>151</v>
      </c>
      <c r="B19" s="104">
        <f>B18*6*52</f>
        <v>31200</v>
      </c>
      <c r="C19" s="102" t="s">
        <v>135</v>
      </c>
      <c r="D19" s="102" t="s">
        <v>65</v>
      </c>
      <c r="E19" s="108">
        <f>B19*E17</f>
        <v>1098933.33333333</v>
      </c>
      <c r="F19" s="102" t="s">
        <v>66</v>
      </c>
      <c r="G19" s="109" t="s">
        <v>152</v>
      </c>
      <c r="H19" s="104">
        <f>H18*6*52</f>
        <v>31200</v>
      </c>
      <c r="I19" s="109" t="s">
        <v>135</v>
      </c>
      <c r="J19" s="109" t="s">
        <v>65</v>
      </c>
      <c r="K19" s="108">
        <f>H19*K17</f>
        <v>998400</v>
      </c>
      <c r="L19" s="109" t="s">
        <v>66</v>
      </c>
    </row>
    <row r="20" spans="1:12" ht="18">
      <c r="A20" s="102"/>
      <c r="B20" s="102"/>
      <c r="C20" s="102"/>
      <c r="D20" s="102"/>
      <c r="E20" s="111"/>
      <c r="F20" s="102"/>
      <c r="G20" s="109"/>
      <c r="H20" s="109"/>
      <c r="I20" s="109"/>
      <c r="J20" s="109"/>
      <c r="K20" s="113"/>
      <c r="L20" s="109"/>
    </row>
    <row r="21" spans="1:12" ht="18">
      <c r="A21" s="102" t="s">
        <v>153</v>
      </c>
      <c r="B21" s="103">
        <v>0</v>
      </c>
      <c r="C21" s="102" t="s">
        <v>154</v>
      </c>
      <c r="D21" s="102" t="s">
        <v>65</v>
      </c>
      <c r="E21" s="108">
        <f>B21*'Unit price of consumables'!B17</f>
        <v>0</v>
      </c>
      <c r="F21" s="102" t="s">
        <v>66</v>
      </c>
      <c r="G21" s="109" t="s">
        <v>153</v>
      </c>
      <c r="H21" s="103">
        <v>1</v>
      </c>
      <c r="I21" s="109" t="s">
        <v>154</v>
      </c>
      <c r="J21" s="109" t="s">
        <v>65</v>
      </c>
      <c r="K21" s="108">
        <f>H21*'Unit price of consumables'!B17</f>
        <v>12.27</v>
      </c>
      <c r="L21" s="109" t="s">
        <v>66</v>
      </c>
    </row>
    <row r="22" spans="1:12" ht="18">
      <c r="A22" s="102" t="s">
        <v>155</v>
      </c>
      <c r="B22" s="104">
        <f>B21*'Scenario 1'!B5</f>
        <v>0</v>
      </c>
      <c r="C22" s="102" t="s">
        <v>154</v>
      </c>
      <c r="D22" s="102" t="s">
        <v>65</v>
      </c>
      <c r="E22" s="108">
        <f>B22*E21</f>
        <v>0</v>
      </c>
      <c r="F22" s="102" t="s">
        <v>66</v>
      </c>
      <c r="G22" s="109" t="s">
        <v>155</v>
      </c>
      <c r="H22" s="104">
        <f>H21*'Scenario 1'!B5</f>
        <v>100</v>
      </c>
      <c r="I22" s="109" t="s">
        <v>154</v>
      </c>
      <c r="J22" s="109" t="s">
        <v>65</v>
      </c>
      <c r="K22" s="108">
        <f>H22*K21</f>
        <v>1227</v>
      </c>
      <c r="L22" s="109" t="s">
        <v>66</v>
      </c>
    </row>
    <row r="23" spans="1:12" ht="18">
      <c r="A23" s="102" t="s">
        <v>156</v>
      </c>
      <c r="B23" s="104">
        <f>B22*6*52</f>
        <v>0</v>
      </c>
      <c r="C23" s="102" t="s">
        <v>154</v>
      </c>
      <c r="D23" s="102" t="s">
        <v>65</v>
      </c>
      <c r="E23" s="108">
        <f>B23*E21</f>
        <v>0</v>
      </c>
      <c r="F23" s="102" t="s">
        <v>66</v>
      </c>
      <c r="G23" s="109" t="s">
        <v>156</v>
      </c>
      <c r="H23" s="104">
        <f>H22*6*52</f>
        <v>31200</v>
      </c>
      <c r="I23" s="109" t="s">
        <v>154</v>
      </c>
      <c r="J23" s="109" t="s">
        <v>65</v>
      </c>
      <c r="K23" s="108">
        <f>H23*K21</f>
        <v>382824</v>
      </c>
      <c r="L23" s="109" t="s">
        <v>66</v>
      </c>
    </row>
    <row r="24" spans="1:12" ht="18">
      <c r="A24" s="102"/>
      <c r="B24" s="102"/>
      <c r="C24" s="102"/>
      <c r="D24" s="102"/>
      <c r="E24" s="111"/>
      <c r="F24" s="102"/>
      <c r="G24" s="109"/>
      <c r="H24" s="109"/>
      <c r="I24" s="109"/>
      <c r="J24" s="109"/>
      <c r="K24" s="113"/>
      <c r="L24" s="109"/>
    </row>
    <row r="25" spans="1:12" ht="18">
      <c r="A25" s="102" t="s">
        <v>157</v>
      </c>
      <c r="B25" s="103">
        <v>1</v>
      </c>
      <c r="C25" s="102" t="s">
        <v>135</v>
      </c>
      <c r="D25" s="102" t="s">
        <v>65</v>
      </c>
      <c r="E25" s="108">
        <f>B25*'Unit price of consumables'!B19</f>
        <v>111.911111111111</v>
      </c>
      <c r="F25" s="102" t="s">
        <v>66</v>
      </c>
      <c r="G25" s="109" t="s">
        <v>157</v>
      </c>
      <c r="H25" s="103">
        <v>1</v>
      </c>
      <c r="I25" s="109" t="s">
        <v>135</v>
      </c>
      <c r="J25" s="109" t="s">
        <v>65</v>
      </c>
      <c r="K25" s="108">
        <f>H25*'Unit price of consumables'!B19</f>
        <v>111.911111111111</v>
      </c>
      <c r="L25" s="109" t="s">
        <v>66</v>
      </c>
    </row>
    <row r="26" spans="1:12" ht="18">
      <c r="A26" s="102" t="s">
        <v>158</v>
      </c>
      <c r="B26" s="104">
        <f>B25*'Scenario 1'!B5</f>
        <v>100</v>
      </c>
      <c r="C26" s="102" t="s">
        <v>135</v>
      </c>
      <c r="D26" s="102" t="s">
        <v>65</v>
      </c>
      <c r="E26" s="108">
        <f>B26*E25</f>
        <v>11191.1111111111</v>
      </c>
      <c r="F26" s="102" t="s">
        <v>66</v>
      </c>
      <c r="G26" s="109" t="s">
        <v>158</v>
      </c>
      <c r="H26" s="104">
        <f>H25*'Scenario 1'!B5</f>
        <v>100</v>
      </c>
      <c r="I26" s="109" t="s">
        <v>135</v>
      </c>
      <c r="J26" s="109" t="s">
        <v>65</v>
      </c>
      <c r="K26" s="108">
        <f>H26*K25</f>
        <v>11191.1111111111</v>
      </c>
      <c r="L26" s="109" t="s">
        <v>66</v>
      </c>
    </row>
    <row r="27" spans="1:12" ht="18">
      <c r="A27" s="102" t="s">
        <v>159</v>
      </c>
      <c r="B27" s="104">
        <f>B26*6*52</f>
        <v>31200</v>
      </c>
      <c r="C27" s="102" t="s">
        <v>135</v>
      </c>
      <c r="D27" s="102" t="s">
        <v>65</v>
      </c>
      <c r="E27" s="108">
        <f>B27*E25</f>
        <v>3491626.6666666698</v>
      </c>
      <c r="F27" s="102" t="s">
        <v>66</v>
      </c>
      <c r="G27" s="109" t="s">
        <v>159</v>
      </c>
      <c r="H27" s="104">
        <f>H26*6*52</f>
        <v>31200</v>
      </c>
      <c r="I27" s="109" t="s">
        <v>135</v>
      </c>
      <c r="J27" s="109" t="s">
        <v>65</v>
      </c>
      <c r="K27" s="108">
        <f>H27*K25</f>
        <v>3491626.6666666698</v>
      </c>
      <c r="L27" s="109" t="s">
        <v>66</v>
      </c>
    </row>
    <row r="28" spans="1:12" ht="18">
      <c r="A28" s="102"/>
      <c r="B28" s="102"/>
      <c r="C28" s="102"/>
      <c r="D28" s="102"/>
      <c r="E28" s="111"/>
      <c r="F28" s="102"/>
      <c r="G28" s="109"/>
      <c r="H28" s="109"/>
      <c r="I28" s="109"/>
      <c r="J28" s="109"/>
      <c r="K28" s="113"/>
      <c r="L28" s="109"/>
    </row>
    <row r="29" spans="1:12" ht="18">
      <c r="A29" s="102" t="s">
        <v>160</v>
      </c>
      <c r="B29" s="103">
        <v>0</v>
      </c>
      <c r="C29" s="102" t="s">
        <v>135</v>
      </c>
      <c r="D29" s="102" t="s">
        <v>65</v>
      </c>
      <c r="E29" s="108">
        <f>B29*'Unit price of consumables'!B36</f>
        <v>0</v>
      </c>
      <c r="F29" s="102" t="s">
        <v>66</v>
      </c>
      <c r="G29" s="109" t="s">
        <v>160</v>
      </c>
      <c r="H29" s="103">
        <v>1</v>
      </c>
      <c r="I29" s="109" t="s">
        <v>135</v>
      </c>
      <c r="J29" s="109" t="s">
        <v>65</v>
      </c>
      <c r="K29" s="108">
        <f>H29*'Unit price of consumables'!B36</f>
        <v>0</v>
      </c>
      <c r="L29" s="109" t="s">
        <v>66</v>
      </c>
    </row>
    <row r="30" spans="1:12" ht="18">
      <c r="A30" s="102" t="s">
        <v>161</v>
      </c>
      <c r="B30" s="104">
        <f>B29*'Scenario 1'!B5</f>
        <v>0</v>
      </c>
      <c r="C30" s="102" t="s">
        <v>135</v>
      </c>
      <c r="D30" s="102" t="s">
        <v>65</v>
      </c>
      <c r="E30" s="108">
        <f>B30*E29</f>
        <v>0</v>
      </c>
      <c r="F30" s="102" t="s">
        <v>66</v>
      </c>
      <c r="G30" s="109" t="s">
        <v>161</v>
      </c>
      <c r="H30" s="104">
        <f>H29*'Scenario 1'!B5</f>
        <v>100</v>
      </c>
      <c r="I30" s="109" t="s">
        <v>135</v>
      </c>
      <c r="J30" s="109" t="s">
        <v>65</v>
      </c>
      <c r="K30" s="108">
        <f>H30*K29</f>
        <v>0</v>
      </c>
      <c r="L30" s="109" t="s">
        <v>66</v>
      </c>
    </row>
    <row r="31" spans="1:12" ht="18">
      <c r="A31" s="102" t="s">
        <v>162</v>
      </c>
      <c r="B31" s="104">
        <f>B30*6*52</f>
        <v>0</v>
      </c>
      <c r="C31" s="102" t="s">
        <v>135</v>
      </c>
      <c r="D31" s="102" t="s">
        <v>65</v>
      </c>
      <c r="E31" s="108">
        <f>B31*E29</f>
        <v>0</v>
      </c>
      <c r="F31" s="102" t="s">
        <v>66</v>
      </c>
      <c r="G31" s="109" t="s">
        <v>162</v>
      </c>
      <c r="H31" s="104">
        <f>H30*6*52</f>
        <v>31200</v>
      </c>
      <c r="I31" s="109" t="s">
        <v>135</v>
      </c>
      <c r="J31" s="109" t="s">
        <v>65</v>
      </c>
      <c r="K31" s="108">
        <f>H31*K29</f>
        <v>0</v>
      </c>
      <c r="L31" s="109" t="s">
        <v>66</v>
      </c>
    </row>
    <row r="32" spans="1:12" ht="18">
      <c r="A32" s="102"/>
      <c r="B32" s="102"/>
      <c r="C32" s="102"/>
      <c r="D32" s="102"/>
      <c r="E32" s="110"/>
      <c r="F32" s="102"/>
      <c r="G32" s="109"/>
      <c r="H32" s="109"/>
      <c r="I32" s="109"/>
      <c r="J32" s="109"/>
      <c r="K32" s="112"/>
      <c r="L32" s="109"/>
    </row>
    <row r="33" spans="1:14" ht="18">
      <c r="A33" s="102"/>
      <c r="B33" s="102" t="s">
        <v>163</v>
      </c>
      <c r="C33" s="102"/>
      <c r="D33" s="102" t="s">
        <v>65</v>
      </c>
      <c r="E33" s="108">
        <f>E5+E9+E13+E17+E21+E25+E29</f>
        <v>222.06888888888901</v>
      </c>
      <c r="F33" s="102" t="s">
        <v>66</v>
      </c>
      <c r="G33" s="109"/>
      <c r="H33" s="109" t="s">
        <v>163</v>
      </c>
      <c r="I33" s="109"/>
      <c r="J33" s="109" t="s">
        <v>65</v>
      </c>
      <c r="K33" s="108">
        <f>K5+K9+K13+K17+K21+K25+K29</f>
        <v>257.89444444444399</v>
      </c>
      <c r="L33" s="109" t="s">
        <v>66</v>
      </c>
    </row>
    <row r="34" spans="1:14" ht="18">
      <c r="A34" s="102"/>
      <c r="B34" s="102" t="s">
        <v>164</v>
      </c>
      <c r="C34" s="102"/>
      <c r="D34" s="102" t="s">
        <v>65</v>
      </c>
      <c r="E34" s="108">
        <f>E6+E10+E14+E18+E22+E26+E30</f>
        <v>22206.888888888901</v>
      </c>
      <c r="F34" s="102" t="s">
        <v>66</v>
      </c>
      <c r="G34" s="109"/>
      <c r="H34" s="109" t="s">
        <v>164</v>
      </c>
      <c r="I34" s="109"/>
      <c r="J34" s="109" t="s">
        <v>65</v>
      </c>
      <c r="K34" s="108">
        <f>K6+K10+K14+K18+K22+K26+K30</f>
        <v>25789.444444444402</v>
      </c>
      <c r="L34" s="109" t="s">
        <v>66</v>
      </c>
    </row>
    <row r="35" spans="1:14" ht="18">
      <c r="A35" s="102"/>
      <c r="B35" s="102" t="s">
        <v>165</v>
      </c>
      <c r="C35" s="102"/>
      <c r="D35" s="102" t="s">
        <v>65</v>
      </c>
      <c r="E35" s="108">
        <f>E7+E11+E15+E19+E23+E27+E31</f>
        <v>6928549.3333333302</v>
      </c>
      <c r="F35" s="102" t="s">
        <v>66</v>
      </c>
      <c r="G35" s="109"/>
      <c r="H35" s="109" t="s">
        <v>165</v>
      </c>
      <c r="I35" s="109"/>
      <c r="J35" s="109" t="s">
        <v>65</v>
      </c>
      <c r="K35" s="108">
        <f>K7+K11+K15+K19+K23+K27+K31</f>
        <v>8046306.6666666698</v>
      </c>
      <c r="L35" s="109" t="s">
        <v>66</v>
      </c>
    </row>
    <row r="36" spans="1:14" ht="18">
      <c r="A36" s="102"/>
      <c r="B36" s="102"/>
      <c r="C36" s="102"/>
      <c r="D36" s="102"/>
      <c r="E36" s="110"/>
      <c r="F36" s="102"/>
      <c r="G36" s="109"/>
      <c r="H36" s="109"/>
      <c r="I36" s="109"/>
      <c r="J36" s="109"/>
      <c r="K36" s="112"/>
      <c r="L36" s="109"/>
    </row>
    <row r="37" spans="1:14" ht="21">
      <c r="A37" s="229" t="s">
        <v>166</v>
      </c>
      <c r="B37" s="229"/>
      <c r="C37" s="229"/>
      <c r="D37" s="229"/>
      <c r="E37" s="229"/>
      <c r="F37" s="229"/>
      <c r="G37" s="230" t="s">
        <v>166</v>
      </c>
      <c r="H37" s="230"/>
      <c r="I37" s="230"/>
      <c r="J37" s="230"/>
      <c r="K37" s="230"/>
      <c r="L37" s="230"/>
    </row>
    <row r="38" spans="1:14" ht="18">
      <c r="A38" s="102" t="s">
        <v>153</v>
      </c>
      <c r="B38" s="103">
        <v>0</v>
      </c>
      <c r="C38" s="102" t="s">
        <v>154</v>
      </c>
      <c r="D38" s="102" t="s">
        <v>65</v>
      </c>
      <c r="E38" s="108">
        <f>B38*'Unit price of consumables'!B17</f>
        <v>0</v>
      </c>
      <c r="F38" s="102" t="s">
        <v>66</v>
      </c>
      <c r="G38" s="109" t="s">
        <v>153</v>
      </c>
      <c r="H38" s="103">
        <v>1</v>
      </c>
      <c r="I38" s="109" t="s">
        <v>154</v>
      </c>
      <c r="J38" s="109" t="s">
        <v>65</v>
      </c>
      <c r="K38" s="108">
        <f>H38*'Unit price of consumables'!B17</f>
        <v>12.27</v>
      </c>
      <c r="L38" s="109" t="s">
        <v>66</v>
      </c>
      <c r="N38">
        <v>0.5</v>
      </c>
    </row>
    <row r="39" spans="1:14" ht="18">
      <c r="A39" s="102" t="s">
        <v>155</v>
      </c>
      <c r="B39" s="104">
        <f>B38*'Scenario 1'!B5</f>
        <v>0</v>
      </c>
      <c r="C39" s="102" t="s">
        <v>154</v>
      </c>
      <c r="D39" s="102" t="s">
        <v>65</v>
      </c>
      <c r="E39" s="108">
        <f>B39*E38</f>
        <v>0</v>
      </c>
      <c r="F39" s="102" t="s">
        <v>66</v>
      </c>
      <c r="G39" s="109" t="s">
        <v>155</v>
      </c>
      <c r="H39" s="104">
        <f>H38*'Scenario 1'!B5</f>
        <v>100</v>
      </c>
      <c r="I39" s="109" t="s">
        <v>154</v>
      </c>
      <c r="J39" s="109" t="s">
        <v>65</v>
      </c>
      <c r="K39" s="108">
        <f>H39*K38</f>
        <v>1227</v>
      </c>
      <c r="L39" s="109" t="s">
        <v>66</v>
      </c>
    </row>
    <row r="40" spans="1:14" ht="18">
      <c r="A40" s="102" t="s">
        <v>156</v>
      </c>
      <c r="B40" s="104">
        <f>B39*6*52</f>
        <v>0</v>
      </c>
      <c r="C40" s="102" t="s">
        <v>154</v>
      </c>
      <c r="D40" s="102" t="s">
        <v>65</v>
      </c>
      <c r="E40" s="108">
        <f>B40*E38</f>
        <v>0</v>
      </c>
      <c r="F40" s="102" t="s">
        <v>66</v>
      </c>
      <c r="G40" s="109" t="s">
        <v>156</v>
      </c>
      <c r="H40" s="104">
        <f>H39*6*52</f>
        <v>31200</v>
      </c>
      <c r="I40" s="109" t="s">
        <v>154</v>
      </c>
      <c r="J40" s="109" t="s">
        <v>65</v>
      </c>
      <c r="K40" s="108">
        <f>H40*K38</f>
        <v>382824</v>
      </c>
      <c r="L40" s="109" t="s">
        <v>66</v>
      </c>
    </row>
    <row r="41" spans="1:14" ht="18">
      <c r="A41" s="102"/>
      <c r="B41" s="102"/>
      <c r="C41" s="102"/>
      <c r="D41" s="102"/>
      <c r="E41" s="110"/>
      <c r="F41" s="102"/>
      <c r="G41" s="109"/>
      <c r="H41" s="109"/>
      <c r="I41" s="109"/>
      <c r="J41" s="109"/>
      <c r="K41" s="112"/>
      <c r="L41" s="109"/>
    </row>
    <row r="42" spans="1:14" ht="18">
      <c r="A42" s="102"/>
      <c r="B42" s="102"/>
      <c r="C42" s="102"/>
      <c r="D42" s="102"/>
      <c r="E42" s="110"/>
      <c r="F42" s="102"/>
      <c r="G42" s="109"/>
      <c r="H42" s="109"/>
      <c r="I42" s="109"/>
      <c r="J42" s="109"/>
      <c r="K42" s="112"/>
      <c r="L42" s="109"/>
    </row>
    <row r="43" spans="1:14" ht="18">
      <c r="A43" s="102"/>
      <c r="B43" s="102" t="s">
        <v>163</v>
      </c>
      <c r="C43" s="102"/>
      <c r="D43" s="102" t="s">
        <v>65</v>
      </c>
      <c r="E43" s="108">
        <f>E38</f>
        <v>0</v>
      </c>
      <c r="F43" s="102" t="s">
        <v>66</v>
      </c>
      <c r="G43" s="109"/>
      <c r="H43" s="109" t="s">
        <v>163</v>
      </c>
      <c r="I43" s="109"/>
      <c r="J43" s="109" t="s">
        <v>65</v>
      </c>
      <c r="K43" s="108">
        <f>K38</f>
        <v>12.27</v>
      </c>
      <c r="L43" s="109" t="s">
        <v>66</v>
      </c>
    </row>
    <row r="44" spans="1:14" ht="18">
      <c r="A44" s="102"/>
      <c r="B44" s="102" t="s">
        <v>164</v>
      </c>
      <c r="C44" s="102"/>
      <c r="D44" s="102" t="s">
        <v>65</v>
      </c>
      <c r="E44" s="108">
        <f>E39</f>
        <v>0</v>
      </c>
      <c r="F44" s="102" t="s">
        <v>66</v>
      </c>
      <c r="G44" s="109"/>
      <c r="H44" s="109" t="s">
        <v>164</v>
      </c>
      <c r="I44" s="109"/>
      <c r="J44" s="109" t="s">
        <v>65</v>
      </c>
      <c r="K44" s="108">
        <f>K39</f>
        <v>1227</v>
      </c>
      <c r="L44" s="109" t="s">
        <v>66</v>
      </c>
    </row>
    <row r="45" spans="1:14" ht="18">
      <c r="A45" s="102"/>
      <c r="B45" s="102" t="s">
        <v>165</v>
      </c>
      <c r="C45" s="102"/>
      <c r="D45" s="102" t="s">
        <v>65</v>
      </c>
      <c r="E45" s="108">
        <f>E40</f>
        <v>0</v>
      </c>
      <c r="F45" s="102" t="s">
        <v>66</v>
      </c>
      <c r="G45" s="109"/>
      <c r="H45" s="109" t="s">
        <v>165</v>
      </c>
      <c r="I45" s="109"/>
      <c r="J45" s="109" t="s">
        <v>65</v>
      </c>
      <c r="K45" s="108">
        <f>K40</f>
        <v>382824</v>
      </c>
      <c r="L45" s="109" t="s">
        <v>66</v>
      </c>
    </row>
    <row r="46" spans="1:14" ht="18">
      <c r="A46" s="102"/>
      <c r="B46" s="102"/>
      <c r="C46" s="102"/>
      <c r="D46" s="102"/>
      <c r="E46" s="110"/>
      <c r="F46" s="102"/>
      <c r="G46" s="109"/>
      <c r="H46" s="109"/>
      <c r="I46" s="109"/>
      <c r="J46" s="109"/>
      <c r="K46" s="112"/>
      <c r="L46" s="109"/>
    </row>
    <row r="47" spans="1:14" ht="21">
      <c r="A47" s="229" t="s">
        <v>167</v>
      </c>
      <c r="B47" s="229"/>
      <c r="C47" s="229"/>
      <c r="D47" s="229"/>
      <c r="E47" s="229"/>
      <c r="F47" s="229"/>
      <c r="G47" s="230" t="s">
        <v>167</v>
      </c>
      <c r="H47" s="230"/>
      <c r="I47" s="230"/>
      <c r="J47" s="230"/>
      <c r="K47" s="230"/>
      <c r="L47" s="230"/>
    </row>
    <row r="48" spans="1:14" ht="18">
      <c r="A48" s="102" t="s">
        <v>168</v>
      </c>
      <c r="B48" s="103">
        <v>1.92</v>
      </c>
      <c r="C48" s="102" t="s">
        <v>154</v>
      </c>
      <c r="D48" s="102" t="s">
        <v>65</v>
      </c>
      <c r="E48" s="108">
        <f>B48*'Unit price of consumables'!B25</f>
        <v>122.88</v>
      </c>
      <c r="F48" s="102" t="s">
        <v>66</v>
      </c>
      <c r="G48" s="109" t="s">
        <v>169</v>
      </c>
      <c r="H48" s="103">
        <v>0.13</v>
      </c>
      <c r="I48" s="109" t="s">
        <v>154</v>
      </c>
      <c r="J48" s="109" t="s">
        <v>65</v>
      </c>
      <c r="K48" s="108">
        <f>H48*'Unit price of consumables'!B27</f>
        <v>7.7566666666666704</v>
      </c>
      <c r="L48" s="109" t="s">
        <v>66</v>
      </c>
      <c r="M48" s="102" t="s">
        <v>170</v>
      </c>
    </row>
    <row r="49" spans="1:14" ht="18">
      <c r="A49" s="102" t="s">
        <v>171</v>
      </c>
      <c r="B49" s="104">
        <f>B48*6*52</f>
        <v>599.04</v>
      </c>
      <c r="C49" s="102" t="s">
        <v>154</v>
      </c>
      <c r="D49" s="102" t="s">
        <v>65</v>
      </c>
      <c r="E49" s="108">
        <f>B49*'Unit price of consumables'!B25</f>
        <v>38338.559999999998</v>
      </c>
      <c r="F49" s="102" t="s">
        <v>66</v>
      </c>
      <c r="G49" s="109" t="s">
        <v>172</v>
      </c>
      <c r="H49" s="104">
        <f>H48*'Scenario 1'!B5</f>
        <v>13</v>
      </c>
      <c r="I49" s="109" t="s">
        <v>154</v>
      </c>
      <c r="J49" s="109" t="s">
        <v>65</v>
      </c>
      <c r="K49" s="108">
        <f>H49*'Unit price of consumables'!B27</f>
        <v>775.66666666666697</v>
      </c>
      <c r="L49" s="109" t="s">
        <v>66</v>
      </c>
    </row>
    <row r="50" spans="1:14" ht="18">
      <c r="A50" s="102" t="s">
        <v>173</v>
      </c>
      <c r="B50" s="104">
        <f>B48/'Scenario 1'!B5</f>
        <v>1.9199999999999998E-2</v>
      </c>
      <c r="C50" s="102" t="s">
        <v>154</v>
      </c>
      <c r="D50" s="102" t="s">
        <v>65</v>
      </c>
      <c r="E50" s="108">
        <f>B50*'Unit price of consumables'!B25</f>
        <v>1.2287999999999999</v>
      </c>
      <c r="F50" s="102" t="s">
        <v>66</v>
      </c>
      <c r="G50" s="109" t="s">
        <v>169</v>
      </c>
      <c r="H50" s="104">
        <f>H49*6*52</f>
        <v>4056</v>
      </c>
      <c r="I50" s="109" t="s">
        <v>154</v>
      </c>
      <c r="J50" s="109" t="s">
        <v>65</v>
      </c>
      <c r="K50" s="108">
        <f>H50*'Unit price of consumables'!B27</f>
        <v>242008</v>
      </c>
      <c r="L50" s="109" t="s">
        <v>66</v>
      </c>
    </row>
    <row r="51" spans="1:14" ht="18">
      <c r="A51" s="102"/>
      <c r="B51" s="102"/>
      <c r="C51" s="102"/>
      <c r="D51" s="102"/>
      <c r="E51" s="110"/>
      <c r="F51" s="102"/>
      <c r="G51" s="109"/>
      <c r="H51" s="109"/>
      <c r="I51" s="109"/>
      <c r="J51" s="109"/>
      <c r="K51" s="112"/>
      <c r="L51" s="109"/>
    </row>
    <row r="52" spans="1:14" ht="18">
      <c r="A52" s="102" t="s">
        <v>174</v>
      </c>
      <c r="B52" s="103">
        <v>4.17</v>
      </c>
      <c r="C52" s="102" t="s">
        <v>154</v>
      </c>
      <c r="D52" s="102" t="s">
        <v>65</v>
      </c>
      <c r="E52" s="108">
        <f>B52*'Unit price of consumables'!B26</f>
        <v>52.658760000000001</v>
      </c>
      <c r="F52" s="102" t="s">
        <v>66</v>
      </c>
      <c r="G52" s="109" t="s">
        <v>175</v>
      </c>
      <c r="H52" s="103">
        <v>0.16</v>
      </c>
      <c r="I52" s="109" t="s">
        <v>154</v>
      </c>
      <c r="J52" s="109" t="s">
        <v>65</v>
      </c>
      <c r="K52" s="108">
        <f>H52*'Unit price of consumables'!B26</f>
        <v>2.0204800000000001</v>
      </c>
      <c r="L52" s="109" t="s">
        <v>66</v>
      </c>
      <c r="M52" s="102" t="s">
        <v>176</v>
      </c>
    </row>
    <row r="53" spans="1:14" ht="18">
      <c r="A53" s="102" t="s">
        <v>177</v>
      </c>
      <c r="B53" s="104">
        <f>B52*6*52</f>
        <v>1301.04</v>
      </c>
      <c r="C53" s="102" t="s">
        <v>154</v>
      </c>
      <c r="D53" s="102" t="s">
        <v>65</v>
      </c>
      <c r="E53" s="108">
        <f>B53*'Unit price of consumables'!B26</f>
        <v>16429.53312</v>
      </c>
      <c r="F53" s="102" t="s">
        <v>66</v>
      </c>
      <c r="G53" s="109" t="s">
        <v>174</v>
      </c>
      <c r="H53" s="104">
        <f>H52*'Scenario 1'!B5</f>
        <v>16</v>
      </c>
      <c r="I53" s="109" t="s">
        <v>154</v>
      </c>
      <c r="J53" s="109" t="s">
        <v>65</v>
      </c>
      <c r="K53" s="108">
        <f>H53*'Unit price of consumables'!B26</f>
        <v>202.048</v>
      </c>
      <c r="L53" s="109" t="s">
        <v>66</v>
      </c>
    </row>
    <row r="54" spans="1:14" ht="18">
      <c r="A54" s="102" t="s">
        <v>175</v>
      </c>
      <c r="B54" s="104">
        <f>B52/'Scenario 1'!B5</f>
        <v>4.1700000000000001E-2</v>
      </c>
      <c r="C54" s="102" t="s">
        <v>154</v>
      </c>
      <c r="D54" s="102" t="s">
        <v>65</v>
      </c>
      <c r="E54" s="108">
        <f>B54*'Unit price of consumables'!B26</f>
        <v>0.52658760000000004</v>
      </c>
      <c r="F54" s="102" t="s">
        <v>66</v>
      </c>
      <c r="G54" s="109" t="s">
        <v>177</v>
      </c>
      <c r="H54" s="104">
        <f>H53*6*52</f>
        <v>4992</v>
      </c>
      <c r="I54" s="109" t="s">
        <v>154</v>
      </c>
      <c r="J54" s="109" t="s">
        <v>65</v>
      </c>
      <c r="K54" s="108">
        <f>H54*'Unit price of consumables'!B26</f>
        <v>63038.976000000002</v>
      </c>
      <c r="L54" s="109" t="s">
        <v>66</v>
      </c>
    </row>
    <row r="55" spans="1:14" ht="18">
      <c r="A55" s="102"/>
      <c r="B55" s="102"/>
      <c r="C55" s="102"/>
      <c r="D55" s="102"/>
      <c r="E55" s="110"/>
      <c r="F55" s="102"/>
      <c r="G55" s="109"/>
      <c r="H55" s="109"/>
      <c r="I55" s="109"/>
      <c r="J55" s="109"/>
      <c r="K55" s="112"/>
      <c r="L55" s="109"/>
    </row>
    <row r="56" spans="1:14" ht="18">
      <c r="A56" s="102"/>
      <c r="B56" s="102" t="s">
        <v>163</v>
      </c>
      <c r="C56" s="102"/>
      <c r="D56" s="102" t="s">
        <v>65</v>
      </c>
      <c r="E56" s="108">
        <f>E50+E54</f>
        <v>1.7553875999999999</v>
      </c>
      <c r="F56" s="102" t="s">
        <v>66</v>
      </c>
      <c r="G56" s="109"/>
      <c r="H56" s="109" t="s">
        <v>163</v>
      </c>
      <c r="I56" s="109"/>
      <c r="J56" s="109" t="s">
        <v>65</v>
      </c>
      <c r="K56" s="108">
        <f>K48+K52</f>
        <v>9.7771466666666704</v>
      </c>
      <c r="L56" s="109" t="s">
        <v>66</v>
      </c>
    </row>
    <row r="57" spans="1:14" ht="18">
      <c r="A57" s="102"/>
      <c r="B57" s="102" t="s">
        <v>164</v>
      </c>
      <c r="C57" s="102"/>
      <c r="D57" s="102" t="s">
        <v>65</v>
      </c>
      <c r="E57" s="108">
        <f>E48+E52</f>
        <v>175.53876</v>
      </c>
      <c r="F57" s="102" t="s">
        <v>66</v>
      </c>
      <c r="G57" s="109"/>
      <c r="H57" s="109" t="s">
        <v>164</v>
      </c>
      <c r="I57" s="109"/>
      <c r="J57" s="109" t="s">
        <v>65</v>
      </c>
      <c r="K57" s="108">
        <f>K49+K53</f>
        <v>977.71466666666697</v>
      </c>
      <c r="L57" s="109" t="s">
        <v>66</v>
      </c>
    </row>
    <row r="58" spans="1:14" ht="18">
      <c r="A58" s="102"/>
      <c r="B58" s="102" t="s">
        <v>165</v>
      </c>
      <c r="C58" s="102"/>
      <c r="D58" s="102" t="s">
        <v>65</v>
      </c>
      <c r="E58" s="108">
        <f>E49+E53</f>
        <v>54768.093119999998</v>
      </c>
      <c r="F58" s="102" t="s">
        <v>66</v>
      </c>
      <c r="G58" s="109"/>
      <c r="H58" s="109" t="s">
        <v>165</v>
      </c>
      <c r="I58" s="109"/>
      <c r="J58" s="109" t="s">
        <v>65</v>
      </c>
      <c r="K58" s="108">
        <f>K50+K54</f>
        <v>305046.97600000002</v>
      </c>
      <c r="L58" s="109" t="s">
        <v>66</v>
      </c>
    </row>
    <row r="59" spans="1:14" ht="18">
      <c r="A59" s="102"/>
      <c r="B59" s="102"/>
      <c r="C59" s="102"/>
      <c r="D59" s="102"/>
      <c r="E59" s="110"/>
      <c r="F59" s="102"/>
      <c r="G59" s="109"/>
      <c r="H59" s="109"/>
      <c r="I59" s="109"/>
      <c r="J59" s="109"/>
      <c r="K59" s="112"/>
      <c r="L59" s="109"/>
    </row>
    <row r="60" spans="1:14" ht="21">
      <c r="A60" s="229" t="s">
        <v>178</v>
      </c>
      <c r="B60" s="229"/>
      <c r="C60" s="229"/>
      <c r="D60" s="229"/>
      <c r="E60" s="229"/>
      <c r="F60" s="229"/>
      <c r="G60" s="230" t="s">
        <v>178</v>
      </c>
      <c r="H60" s="230"/>
      <c r="I60" s="230"/>
      <c r="J60" s="230"/>
      <c r="K60" s="230"/>
      <c r="L60" s="230"/>
    </row>
    <row r="61" spans="1:14" ht="18">
      <c r="A61" s="102" t="s">
        <v>179</v>
      </c>
      <c r="B61" s="104">
        <f>'Scenario 1'!B5</f>
        <v>100</v>
      </c>
      <c r="C61" s="102" t="s">
        <v>135</v>
      </c>
      <c r="D61" s="102" t="s">
        <v>65</v>
      </c>
      <c r="E61" s="108">
        <f>B61*'Unit price of consumables'!B34</f>
        <v>250000</v>
      </c>
      <c r="F61" s="102" t="s">
        <v>66</v>
      </c>
      <c r="G61" s="109" t="s">
        <v>180</v>
      </c>
      <c r="H61" s="104">
        <f>4*'Scenario 1'!B5</f>
        <v>400</v>
      </c>
      <c r="I61" s="109" t="s">
        <v>135</v>
      </c>
      <c r="J61" s="109" t="s">
        <v>65</v>
      </c>
      <c r="K61" s="108">
        <f>H61*'Unit price of consumables'!B30</f>
        <v>530611.11111111101</v>
      </c>
      <c r="L61" s="109" t="s">
        <v>66</v>
      </c>
      <c r="M61" s="102" t="s">
        <v>181</v>
      </c>
      <c r="N61" s="109" t="s">
        <v>182</v>
      </c>
    </row>
    <row r="62" spans="1:14" ht="18">
      <c r="A62" s="102" t="s">
        <v>183</v>
      </c>
      <c r="B62" s="105">
        <f>B61/6/52</f>
        <v>0.32051282051282098</v>
      </c>
      <c r="C62" s="102" t="s">
        <v>135</v>
      </c>
      <c r="D62" s="102" t="s">
        <v>65</v>
      </c>
      <c r="E62" s="108">
        <f>B62*'Unit price of consumables'!B34</f>
        <v>801.28205128205104</v>
      </c>
      <c r="F62" s="102" t="s">
        <v>66</v>
      </c>
      <c r="G62" s="109" t="s">
        <v>184</v>
      </c>
      <c r="H62" s="105">
        <f>H61/6/52</f>
        <v>1.2820512820512799</v>
      </c>
      <c r="I62" s="109" t="s">
        <v>135</v>
      </c>
      <c r="J62" s="109" t="s">
        <v>65</v>
      </c>
      <c r="K62" s="108">
        <f>H62*'Unit price of consumables'!B30</f>
        <v>1700.6766381766399</v>
      </c>
      <c r="L62" s="109" t="s">
        <v>66</v>
      </c>
    </row>
    <row r="63" spans="1:14" ht="18">
      <c r="A63" s="102" t="s">
        <v>185</v>
      </c>
      <c r="B63" s="106">
        <f>B62/'Scenario 1'!B5</f>
        <v>3.2051282051282098E-3</v>
      </c>
      <c r="C63" s="102" t="s">
        <v>135</v>
      </c>
      <c r="D63" s="102" t="s">
        <v>65</v>
      </c>
      <c r="E63" s="108">
        <f>B63*'Unit price of consumables'!B34</f>
        <v>8.0128205128205092</v>
      </c>
      <c r="F63" s="102" t="s">
        <v>66</v>
      </c>
      <c r="G63" s="109" t="s">
        <v>186</v>
      </c>
      <c r="H63" s="106">
        <f>H62/'Scenario 1'!B5</f>
        <v>1.2820512820512799E-2</v>
      </c>
      <c r="I63" s="109" t="s">
        <v>135</v>
      </c>
      <c r="J63" s="109" t="s">
        <v>65</v>
      </c>
      <c r="K63" s="108">
        <f>H63*'Unit price of consumables'!B30</f>
        <v>17.006766381766401</v>
      </c>
      <c r="L63" s="109" t="s">
        <v>66</v>
      </c>
    </row>
    <row r="64" spans="1:14" ht="18">
      <c r="A64" s="102"/>
      <c r="B64" s="102"/>
      <c r="C64" s="102"/>
      <c r="D64" s="102"/>
      <c r="E64" s="110"/>
      <c r="F64" s="102"/>
      <c r="G64" s="109"/>
      <c r="H64" s="109"/>
      <c r="I64" s="109"/>
      <c r="J64" s="109"/>
      <c r="K64" s="112"/>
      <c r="L64" s="109"/>
    </row>
    <row r="65" spans="1:13" ht="18">
      <c r="A65" s="102" t="s">
        <v>187</v>
      </c>
      <c r="B65" s="116">
        <f>ROUNDUP(1+'Scenario 1'!B5/2/15,0)</f>
        <v>5</v>
      </c>
      <c r="C65" s="102" t="s">
        <v>135</v>
      </c>
      <c r="D65" s="102" t="s">
        <v>65</v>
      </c>
      <c r="E65" s="108">
        <f>B65*'Unit price of consumables'!B35</f>
        <v>105000</v>
      </c>
      <c r="F65" s="102" t="s">
        <v>66</v>
      </c>
      <c r="G65" s="109" t="s">
        <v>188</v>
      </c>
      <c r="H65" s="103">
        <v>0</v>
      </c>
      <c r="I65" s="109" t="s">
        <v>135</v>
      </c>
      <c r="J65" s="109" t="s">
        <v>65</v>
      </c>
      <c r="K65" s="108">
        <f>H65</f>
        <v>0</v>
      </c>
      <c r="L65" s="109" t="s">
        <v>66</v>
      </c>
      <c r="M65" s="102" t="s">
        <v>189</v>
      </c>
    </row>
    <row r="66" spans="1:13" ht="18">
      <c r="A66" s="102" t="s">
        <v>190</v>
      </c>
      <c r="B66" s="105">
        <f>B65/6/52</f>
        <v>1.6025641025641E-2</v>
      </c>
      <c r="C66" s="102" t="s">
        <v>135</v>
      </c>
      <c r="D66" s="102" t="s">
        <v>65</v>
      </c>
      <c r="E66" s="108">
        <f>B66*'Unit price of consumables'!B35</f>
        <v>336.538461538462</v>
      </c>
      <c r="F66" s="102" t="s">
        <v>66</v>
      </c>
      <c r="G66" s="109" t="s">
        <v>191</v>
      </c>
      <c r="H66" s="104">
        <f>H65/6/52</f>
        <v>0</v>
      </c>
      <c r="I66" s="109" t="s">
        <v>135</v>
      </c>
      <c r="J66" s="109" t="s">
        <v>65</v>
      </c>
      <c r="K66" s="108">
        <f>H66</f>
        <v>0</v>
      </c>
      <c r="L66" s="109" t="s">
        <v>66</v>
      </c>
    </row>
    <row r="67" spans="1:13" ht="18">
      <c r="A67" s="102" t="s">
        <v>192</v>
      </c>
      <c r="B67" s="117">
        <f>B66/'Scenario 1'!B5</f>
        <v>1.6025641025641001E-4</v>
      </c>
      <c r="C67" s="102" t="s">
        <v>135</v>
      </c>
      <c r="D67" s="102" t="s">
        <v>65</v>
      </c>
      <c r="E67" s="108">
        <f>B67*'Unit price of consumables'!B35</f>
        <v>3.3653846153846199</v>
      </c>
      <c r="F67" s="102" t="s">
        <v>66</v>
      </c>
      <c r="G67" s="109" t="s">
        <v>193</v>
      </c>
      <c r="H67" s="117">
        <f>H66/'Scenario 1'!B5</f>
        <v>0</v>
      </c>
      <c r="I67" s="109" t="s">
        <v>135</v>
      </c>
      <c r="J67" s="109" t="s">
        <v>65</v>
      </c>
      <c r="K67" s="108">
        <f>H67</f>
        <v>0</v>
      </c>
      <c r="L67" s="109" t="s">
        <v>66</v>
      </c>
    </row>
    <row r="68" spans="1:13" ht="18">
      <c r="A68" s="102"/>
      <c r="B68" s="102"/>
      <c r="C68" s="102"/>
      <c r="D68" s="102"/>
      <c r="E68" s="110"/>
      <c r="F68" s="102"/>
      <c r="G68" s="109"/>
      <c r="H68" s="109"/>
      <c r="I68" s="109"/>
      <c r="J68" s="109"/>
      <c r="K68" s="112"/>
      <c r="L68" s="109"/>
    </row>
    <row r="69" spans="1:13" ht="18">
      <c r="A69" s="102"/>
      <c r="B69" s="102" t="s">
        <v>163</v>
      </c>
      <c r="C69" s="102"/>
      <c r="D69" s="102" t="s">
        <v>65</v>
      </c>
      <c r="E69" s="108">
        <f>E63+E67</f>
        <v>11.378205128205099</v>
      </c>
      <c r="F69" s="102" t="s">
        <v>66</v>
      </c>
      <c r="G69" s="109"/>
      <c r="H69" s="109" t="s">
        <v>163</v>
      </c>
      <c r="I69" s="109"/>
      <c r="J69" s="109" t="s">
        <v>65</v>
      </c>
      <c r="K69" s="108">
        <f>K63+K67</f>
        <v>17.006766381766401</v>
      </c>
      <c r="L69" s="109" t="s">
        <v>66</v>
      </c>
    </row>
    <row r="70" spans="1:13" ht="18">
      <c r="A70" s="102"/>
      <c r="B70" s="102" t="s">
        <v>164</v>
      </c>
      <c r="C70" s="102"/>
      <c r="D70" s="102" t="s">
        <v>65</v>
      </c>
      <c r="E70" s="108">
        <f>E62+E66</f>
        <v>1137.82051282051</v>
      </c>
      <c r="F70" s="102" t="s">
        <v>66</v>
      </c>
      <c r="G70" s="109"/>
      <c r="H70" s="109" t="s">
        <v>164</v>
      </c>
      <c r="I70" s="109"/>
      <c r="J70" s="109" t="s">
        <v>65</v>
      </c>
      <c r="K70" s="108">
        <f>K62+K66</f>
        <v>1700.6766381766399</v>
      </c>
      <c r="L70" s="109" t="s">
        <v>66</v>
      </c>
    </row>
    <row r="71" spans="1:13" ht="18">
      <c r="A71" s="102"/>
      <c r="B71" s="102" t="s">
        <v>165</v>
      </c>
      <c r="C71" s="102"/>
      <c r="D71" s="102" t="s">
        <v>65</v>
      </c>
      <c r="E71" s="108">
        <f>E61+E65</f>
        <v>355000</v>
      </c>
      <c r="F71" s="102" t="s">
        <v>66</v>
      </c>
      <c r="G71" s="109"/>
      <c r="H71" s="109" t="s">
        <v>165</v>
      </c>
      <c r="I71" s="109"/>
      <c r="J71" s="109" t="s">
        <v>65</v>
      </c>
      <c r="K71" s="108">
        <f>K61+K65</f>
        <v>530611.11111111101</v>
      </c>
      <c r="L71" s="109" t="s">
        <v>66</v>
      </c>
    </row>
    <row r="72" spans="1:13" ht="18">
      <c r="A72" s="102"/>
      <c r="B72" s="102"/>
      <c r="C72" s="102"/>
      <c r="D72" s="102"/>
      <c r="E72" s="110"/>
      <c r="F72" s="102"/>
      <c r="G72" s="109"/>
      <c r="H72" s="109"/>
      <c r="I72" s="109"/>
      <c r="J72" s="109"/>
      <c r="K72" s="112"/>
      <c r="L72" s="109"/>
    </row>
    <row r="73" spans="1:13" ht="18">
      <c r="A73" s="102"/>
      <c r="B73" s="102"/>
      <c r="C73" s="102"/>
      <c r="D73" s="102"/>
      <c r="E73" s="110"/>
      <c r="F73" s="102"/>
      <c r="G73" s="109"/>
      <c r="H73" s="109"/>
      <c r="I73" s="109"/>
      <c r="J73" s="109"/>
      <c r="K73" s="112"/>
      <c r="L73" s="109"/>
    </row>
    <row r="74" spans="1:13" ht="21">
      <c r="A74" s="229" t="s">
        <v>194</v>
      </c>
      <c r="B74" s="229"/>
      <c r="C74" s="229"/>
      <c r="D74" s="229"/>
      <c r="E74" s="229"/>
      <c r="F74" s="229"/>
      <c r="G74" s="230" t="s">
        <v>194</v>
      </c>
      <c r="H74" s="230"/>
      <c r="I74" s="230"/>
      <c r="J74" s="230"/>
      <c r="K74" s="230"/>
      <c r="L74" s="230"/>
    </row>
    <row r="75" spans="1:13" ht="18">
      <c r="A75" s="102"/>
      <c r="B75" s="102" t="s">
        <v>163</v>
      </c>
      <c r="C75" s="102"/>
      <c r="D75" s="102"/>
      <c r="E75" s="119">
        <f>E33+E43+E56+E69</f>
        <v>235.20248161709401</v>
      </c>
      <c r="F75" s="102" t="s">
        <v>66</v>
      </c>
      <c r="G75" s="109"/>
      <c r="H75" s="109" t="s">
        <v>163</v>
      </c>
      <c r="I75" s="109"/>
      <c r="J75" s="109" t="s">
        <v>65</v>
      </c>
      <c r="K75" s="119">
        <f>K33+K43+K56+K69</f>
        <v>296.94835749287802</v>
      </c>
      <c r="L75" s="109" t="s">
        <v>66</v>
      </c>
    </row>
    <row r="76" spans="1:13" ht="18">
      <c r="A76" s="102"/>
      <c r="B76" s="102" t="s">
        <v>164</v>
      </c>
      <c r="C76" s="102"/>
      <c r="D76" s="102"/>
      <c r="E76" s="119">
        <f>E34+E44+E57+E70</f>
        <v>23520.248161709402</v>
      </c>
      <c r="F76" s="102" t="s">
        <v>66</v>
      </c>
      <c r="G76" s="109"/>
      <c r="H76" s="109" t="s">
        <v>164</v>
      </c>
      <c r="I76" s="109"/>
      <c r="J76" s="109" t="s">
        <v>65</v>
      </c>
      <c r="K76" s="119">
        <f>K34+K44+K57+K70</f>
        <v>29694.835749287799</v>
      </c>
      <c r="L76" s="109" t="s">
        <v>66</v>
      </c>
    </row>
    <row r="77" spans="1:13" ht="18">
      <c r="A77" s="102"/>
      <c r="B77" s="102" t="s">
        <v>165</v>
      </c>
      <c r="C77" s="102"/>
      <c r="D77" s="102"/>
      <c r="E77" s="119">
        <f>E35+E45+E58+E71</f>
        <v>7338317.4264533296</v>
      </c>
      <c r="F77" s="102" t="s">
        <v>66</v>
      </c>
      <c r="G77" s="109"/>
      <c r="H77" s="109" t="s">
        <v>165</v>
      </c>
      <c r="I77" s="109"/>
      <c r="J77" s="109" t="s">
        <v>65</v>
      </c>
      <c r="K77" s="119">
        <f>K35+K45+K58+K71</f>
        <v>9264788.7537777796</v>
      </c>
      <c r="L77" s="109" t="s">
        <v>66</v>
      </c>
    </row>
    <row r="78" spans="1:13" ht="18">
      <c r="A78" s="102"/>
      <c r="B78" s="102"/>
      <c r="C78" s="102"/>
      <c r="D78" s="102"/>
      <c r="E78" s="110"/>
      <c r="F78" s="102"/>
      <c r="G78" s="109"/>
      <c r="H78" s="109"/>
      <c r="I78" s="109"/>
      <c r="J78" s="109"/>
      <c r="K78" s="112"/>
      <c r="L78" s="109"/>
    </row>
    <row r="79" spans="1:13" ht="18">
      <c r="A79" s="102"/>
      <c r="B79" s="102"/>
      <c r="C79" s="102"/>
      <c r="D79" s="102"/>
      <c r="E79" s="110"/>
      <c r="F79" s="102"/>
      <c r="G79" s="109"/>
      <c r="H79" s="109"/>
      <c r="I79" s="109"/>
      <c r="J79" s="109"/>
      <c r="K79" s="112"/>
      <c r="L79" s="109"/>
    </row>
    <row r="80" spans="1:13" ht="21">
      <c r="A80" s="235" t="s">
        <v>194</v>
      </c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</row>
    <row r="81" spans="1:12" s="99" customFormat="1" ht="18">
      <c r="A81" s="118"/>
      <c r="B81" s="118"/>
      <c r="C81" s="118"/>
      <c r="D81" s="118"/>
      <c r="E81" s="120"/>
      <c r="F81" s="118"/>
      <c r="G81" s="88"/>
      <c r="H81" s="88" t="s">
        <v>195</v>
      </c>
      <c r="I81" s="88"/>
      <c r="J81" s="88"/>
      <c r="K81" s="122">
        <f>K75-E75</f>
        <v>61.745875875783497</v>
      </c>
      <c r="L81" s="109" t="s">
        <v>66</v>
      </c>
    </row>
    <row r="82" spans="1:12" s="99" customFormat="1" ht="18">
      <c r="A82" s="118"/>
      <c r="B82" s="118"/>
      <c r="C82" s="118"/>
      <c r="D82" s="118"/>
      <c r="E82" s="120"/>
      <c r="F82" s="118"/>
      <c r="G82" s="88"/>
      <c r="H82" s="88" t="s">
        <v>196</v>
      </c>
      <c r="I82" s="88"/>
      <c r="J82" s="88"/>
      <c r="K82" s="122">
        <f>K76-E76</f>
        <v>6174.5875875783504</v>
      </c>
      <c r="L82" s="109" t="s">
        <v>66</v>
      </c>
    </row>
    <row r="83" spans="1:12" s="99" customFormat="1" ht="18">
      <c r="A83" s="118"/>
      <c r="B83" s="118"/>
      <c r="C83" s="118"/>
      <c r="D83" s="118"/>
      <c r="E83" s="120"/>
      <c r="F83" s="118"/>
      <c r="G83" s="88"/>
      <c r="H83" s="88" t="s">
        <v>197</v>
      </c>
      <c r="I83" s="88"/>
      <c r="J83" s="88"/>
      <c r="K83" s="122">
        <f>K77-E77</f>
        <v>1926471.32732444</v>
      </c>
      <c r="L83" s="109" t="s">
        <v>66</v>
      </c>
    </row>
    <row r="84" spans="1:12" ht="18">
      <c r="A84" s="72"/>
      <c r="B84" s="72"/>
      <c r="C84" s="72"/>
      <c r="D84" s="72"/>
      <c r="E84" s="121"/>
      <c r="F84" s="72"/>
      <c r="G84" s="72"/>
      <c r="H84" s="72"/>
      <c r="I84" s="72"/>
      <c r="J84" s="72"/>
      <c r="K84" s="121"/>
      <c r="L84" s="72"/>
    </row>
    <row r="85" spans="1:12" ht="18">
      <c r="A85" s="72"/>
      <c r="B85" s="72"/>
      <c r="C85" s="72"/>
      <c r="D85" s="72"/>
      <c r="E85" s="121"/>
      <c r="F85" s="72"/>
      <c r="G85" s="72"/>
      <c r="H85" s="72"/>
      <c r="I85" s="72"/>
      <c r="J85" s="72"/>
      <c r="K85" s="121"/>
      <c r="L85" s="72"/>
    </row>
    <row r="86" spans="1:12" ht="18">
      <c r="A86" s="72"/>
      <c r="B86" s="72"/>
      <c r="C86" s="72"/>
      <c r="D86" s="72"/>
      <c r="E86" s="121"/>
      <c r="F86" s="72"/>
      <c r="G86" s="72"/>
      <c r="H86" s="72"/>
      <c r="I86" s="72"/>
      <c r="J86" s="72"/>
      <c r="K86" s="121"/>
      <c r="L86" s="72"/>
    </row>
    <row r="87" spans="1:12" ht="18">
      <c r="A87" s="72"/>
      <c r="B87" s="72"/>
      <c r="C87" s="72"/>
      <c r="D87" s="72"/>
      <c r="E87" s="121"/>
      <c r="F87" s="72"/>
      <c r="G87" s="72"/>
      <c r="H87" s="72"/>
      <c r="I87" s="72"/>
      <c r="J87" s="72"/>
      <c r="K87" s="121"/>
      <c r="L87" s="72"/>
    </row>
    <row r="88" spans="1:12" ht="18">
      <c r="A88" s="72"/>
      <c r="B88" s="72"/>
      <c r="C88" s="72"/>
      <c r="D88" s="72"/>
      <c r="E88" s="121"/>
      <c r="F88" s="72"/>
      <c r="G88" s="72"/>
      <c r="H88" s="72"/>
      <c r="I88" s="72"/>
      <c r="J88" s="72"/>
      <c r="K88" s="121"/>
      <c r="L88" s="72"/>
    </row>
    <row r="89" spans="1:12" ht="18">
      <c r="A89" s="72"/>
      <c r="B89" s="72"/>
      <c r="C89" s="72"/>
      <c r="D89" s="72"/>
      <c r="E89" s="121"/>
      <c r="F89" s="72"/>
      <c r="G89" s="72"/>
      <c r="H89" s="72"/>
      <c r="I89" s="72"/>
      <c r="J89" s="72"/>
      <c r="K89" s="121"/>
      <c r="L89" s="72"/>
    </row>
    <row r="90" spans="1:12" ht="18">
      <c r="A90" s="72"/>
      <c r="B90" s="72"/>
      <c r="C90" s="72"/>
      <c r="D90" s="72"/>
      <c r="E90" s="121"/>
      <c r="F90" s="72"/>
      <c r="G90" s="72"/>
      <c r="H90" s="72"/>
      <c r="I90" s="72"/>
      <c r="J90" s="72"/>
      <c r="K90" s="121"/>
      <c r="L90" s="72"/>
    </row>
    <row r="91" spans="1:12" ht="18">
      <c r="A91" s="72"/>
      <c r="B91" s="72"/>
      <c r="C91" s="72"/>
      <c r="D91" s="72"/>
      <c r="E91" s="121"/>
      <c r="F91" s="72"/>
      <c r="G91" s="72"/>
      <c r="H91" s="72"/>
      <c r="I91" s="72"/>
      <c r="J91" s="72"/>
      <c r="K91" s="121"/>
      <c r="L91" s="72"/>
    </row>
    <row r="92" spans="1:12" ht="18">
      <c r="A92" s="72"/>
      <c r="B92" s="72"/>
      <c r="C92" s="72"/>
      <c r="D92" s="72"/>
      <c r="E92" s="121"/>
      <c r="F92" s="72"/>
      <c r="G92" s="72"/>
      <c r="H92" s="72"/>
      <c r="I92" s="72"/>
      <c r="J92" s="72"/>
      <c r="K92" s="121"/>
      <c r="L92" s="72"/>
    </row>
    <row r="93" spans="1:12" ht="18">
      <c r="A93" s="72"/>
      <c r="B93" s="72"/>
      <c r="C93" s="72"/>
      <c r="D93" s="72"/>
      <c r="E93" s="121"/>
      <c r="F93" s="72"/>
      <c r="G93" s="72"/>
      <c r="H93" s="72"/>
      <c r="I93" s="72"/>
      <c r="J93" s="72"/>
      <c r="K93" s="121"/>
      <c r="L93" s="72"/>
    </row>
    <row r="94" spans="1:12" ht="18">
      <c r="A94" s="72"/>
      <c r="B94" s="72"/>
      <c r="C94" s="72"/>
      <c r="D94" s="72"/>
      <c r="E94" s="121"/>
      <c r="F94" s="72"/>
      <c r="G94" s="72"/>
      <c r="H94" s="72"/>
      <c r="I94" s="72"/>
      <c r="J94" s="72"/>
      <c r="K94" s="121"/>
      <c r="L94" s="72"/>
    </row>
    <row r="95" spans="1:12" ht="18">
      <c r="A95" s="72"/>
      <c r="B95" s="72"/>
      <c r="C95" s="72"/>
      <c r="D95" s="72"/>
      <c r="E95" s="121"/>
      <c r="F95" s="72"/>
      <c r="G95" s="72"/>
      <c r="H95" s="72"/>
      <c r="I95" s="72"/>
      <c r="J95" s="72"/>
      <c r="K95" s="121"/>
      <c r="L95" s="72"/>
    </row>
    <row r="96" spans="1:12" ht="18">
      <c r="A96" s="72"/>
      <c r="B96" s="72"/>
      <c r="C96" s="72"/>
      <c r="D96" s="72"/>
      <c r="E96" s="121"/>
      <c r="F96" s="72"/>
      <c r="G96" s="72"/>
      <c r="H96" s="72"/>
      <c r="I96" s="72"/>
      <c r="J96" s="72"/>
      <c r="K96" s="121"/>
      <c r="L96" s="72"/>
    </row>
    <row r="97" spans="1:12" ht="18">
      <c r="A97" s="72"/>
      <c r="B97" s="72"/>
      <c r="C97" s="72"/>
      <c r="D97" s="72"/>
      <c r="E97" s="121"/>
      <c r="F97" s="72"/>
      <c r="G97" s="72"/>
      <c r="H97" s="72"/>
      <c r="I97" s="72"/>
      <c r="J97" s="72"/>
      <c r="K97" s="121"/>
      <c r="L97" s="72"/>
    </row>
    <row r="98" spans="1:12" ht="18">
      <c r="A98" s="72"/>
      <c r="B98" s="72"/>
      <c r="C98" s="72"/>
      <c r="D98" s="72"/>
      <c r="E98" s="121"/>
      <c r="F98" s="72"/>
      <c r="G98" s="72"/>
      <c r="H98" s="72"/>
      <c r="I98" s="72"/>
      <c r="J98" s="72"/>
      <c r="K98" s="121"/>
      <c r="L98" s="72"/>
    </row>
    <row r="99" spans="1:12" ht="18">
      <c r="A99" s="72"/>
      <c r="B99" s="72"/>
      <c r="C99" s="72"/>
      <c r="D99" s="72"/>
      <c r="E99" s="121"/>
      <c r="F99" s="72"/>
      <c r="G99" s="72"/>
      <c r="H99" s="72"/>
      <c r="I99" s="72"/>
      <c r="J99" s="72"/>
      <c r="K99" s="121"/>
      <c r="L99" s="72"/>
    </row>
    <row r="100" spans="1:12" ht="18">
      <c r="A100" s="72"/>
      <c r="B100" s="72"/>
      <c r="C100" s="72"/>
      <c r="D100" s="72"/>
      <c r="E100" s="121"/>
      <c r="F100" s="72"/>
      <c r="G100" s="72"/>
      <c r="H100" s="72"/>
      <c r="I100" s="72"/>
      <c r="J100" s="72"/>
      <c r="K100" s="121"/>
      <c r="L100" s="72"/>
    </row>
    <row r="101" spans="1:12" ht="18">
      <c r="A101" s="72"/>
      <c r="B101" s="72"/>
      <c r="C101" s="72"/>
      <c r="D101" s="72"/>
      <c r="E101" s="121"/>
      <c r="F101" s="72"/>
      <c r="G101" s="72"/>
      <c r="H101" s="72"/>
      <c r="I101" s="72"/>
      <c r="J101" s="72"/>
      <c r="K101" s="121"/>
      <c r="L101" s="72"/>
    </row>
    <row r="102" spans="1:12" ht="18">
      <c r="A102" s="72"/>
      <c r="B102" s="72"/>
      <c r="C102" s="72"/>
      <c r="D102" s="72"/>
      <c r="E102" s="121"/>
      <c r="F102" s="72"/>
      <c r="G102" s="72"/>
      <c r="H102" s="72"/>
      <c r="I102" s="72"/>
      <c r="J102" s="72"/>
      <c r="K102" s="121"/>
      <c r="L102" s="72"/>
    </row>
    <row r="103" spans="1:12" ht="18">
      <c r="A103" s="72"/>
      <c r="B103" s="72"/>
      <c r="C103" s="72"/>
      <c r="D103" s="72"/>
      <c r="E103" s="121"/>
      <c r="F103" s="72"/>
      <c r="G103" s="72"/>
      <c r="H103" s="72"/>
      <c r="I103" s="72"/>
      <c r="J103" s="72"/>
      <c r="K103" s="121"/>
      <c r="L103" s="72"/>
    </row>
    <row r="104" spans="1:12" ht="18">
      <c r="A104" s="72"/>
      <c r="B104" s="72"/>
      <c r="C104" s="72"/>
      <c r="D104" s="72"/>
      <c r="E104" s="121"/>
      <c r="F104" s="72"/>
      <c r="G104" s="72"/>
      <c r="H104" s="72"/>
      <c r="I104" s="72"/>
      <c r="J104" s="72"/>
      <c r="K104" s="121"/>
      <c r="L104" s="72"/>
    </row>
    <row r="105" spans="1:12" ht="18">
      <c r="A105" s="72"/>
      <c r="B105" s="72"/>
      <c r="C105" s="72"/>
      <c r="D105" s="72"/>
      <c r="E105" s="121"/>
      <c r="F105" s="72"/>
      <c r="G105" s="72"/>
      <c r="H105" s="72"/>
      <c r="I105" s="72"/>
      <c r="J105" s="72"/>
      <c r="K105" s="121"/>
      <c r="L105" s="72"/>
    </row>
    <row r="106" spans="1:12" ht="18">
      <c r="A106" s="72"/>
      <c r="B106" s="72"/>
      <c r="C106" s="72"/>
      <c r="D106" s="72"/>
      <c r="E106" s="121"/>
      <c r="F106" s="72"/>
      <c r="G106" s="72"/>
      <c r="H106" s="72"/>
      <c r="I106" s="72"/>
      <c r="J106" s="72"/>
      <c r="K106" s="121"/>
      <c r="L106" s="72"/>
    </row>
    <row r="107" spans="1:12" ht="18">
      <c r="A107" s="72"/>
      <c r="B107" s="72"/>
      <c r="C107" s="72"/>
      <c r="D107" s="72"/>
      <c r="E107" s="121"/>
      <c r="F107" s="72"/>
      <c r="G107" s="72"/>
      <c r="H107" s="72"/>
      <c r="I107" s="72"/>
      <c r="J107" s="72"/>
      <c r="K107" s="121"/>
      <c r="L107" s="72"/>
    </row>
    <row r="108" spans="1:12" ht="18">
      <c r="A108" s="72"/>
      <c r="B108" s="72"/>
      <c r="C108" s="72"/>
      <c r="D108" s="72"/>
      <c r="E108" s="121"/>
      <c r="F108" s="72"/>
      <c r="G108" s="72"/>
      <c r="H108" s="72"/>
      <c r="I108" s="72"/>
      <c r="J108" s="72"/>
      <c r="K108" s="121"/>
      <c r="L108" s="72"/>
    </row>
    <row r="109" spans="1:12" ht="18">
      <c r="A109" s="72"/>
      <c r="B109" s="72"/>
      <c r="C109" s="72"/>
      <c r="D109" s="72"/>
      <c r="E109" s="121"/>
      <c r="F109" s="72"/>
      <c r="G109" s="72"/>
      <c r="H109" s="72"/>
      <c r="I109" s="72"/>
      <c r="J109" s="72"/>
      <c r="K109" s="121"/>
      <c r="L109" s="72"/>
    </row>
    <row r="110" spans="1:12" ht="18">
      <c r="A110" s="72"/>
      <c r="B110" s="72"/>
      <c r="C110" s="72"/>
      <c r="D110" s="72"/>
      <c r="E110" s="121"/>
      <c r="F110" s="72"/>
      <c r="G110" s="72"/>
      <c r="H110" s="72"/>
      <c r="I110" s="72"/>
      <c r="J110" s="72"/>
      <c r="K110" s="121"/>
      <c r="L110" s="72"/>
    </row>
    <row r="111" spans="1:12" ht="18">
      <c r="A111" s="72"/>
      <c r="B111" s="72"/>
      <c r="C111" s="72"/>
      <c r="D111" s="72"/>
      <c r="E111" s="121"/>
      <c r="F111" s="72"/>
      <c r="G111" s="72"/>
      <c r="H111" s="72"/>
      <c r="I111" s="72"/>
      <c r="J111" s="72"/>
      <c r="K111" s="121"/>
      <c r="L111" s="72"/>
    </row>
    <row r="112" spans="1:12" ht="18">
      <c r="A112" s="72"/>
      <c r="B112" s="72"/>
      <c r="C112" s="72"/>
      <c r="D112" s="72"/>
      <c r="E112" s="121"/>
      <c r="F112" s="72"/>
      <c r="G112" s="72"/>
      <c r="H112" s="72"/>
      <c r="I112" s="72"/>
      <c r="J112" s="72"/>
      <c r="K112" s="121"/>
      <c r="L112" s="72"/>
    </row>
    <row r="113" spans="1:12" ht="18">
      <c r="A113" s="72"/>
      <c r="B113" s="72"/>
      <c r="C113" s="72"/>
      <c r="D113" s="72"/>
      <c r="E113" s="121"/>
      <c r="F113" s="72"/>
      <c r="G113" s="72"/>
      <c r="H113" s="72"/>
      <c r="I113" s="72"/>
      <c r="J113" s="72"/>
      <c r="K113" s="121"/>
      <c r="L113" s="72"/>
    </row>
    <row r="114" spans="1:12" ht="18">
      <c r="A114" s="72"/>
      <c r="B114" s="72"/>
      <c r="C114" s="72"/>
      <c r="D114" s="72"/>
      <c r="E114" s="121"/>
      <c r="F114" s="72"/>
      <c r="G114" s="72"/>
      <c r="H114" s="72"/>
      <c r="I114" s="72"/>
      <c r="J114" s="72"/>
      <c r="K114" s="121"/>
      <c r="L114" s="72"/>
    </row>
    <row r="115" spans="1:12" ht="18">
      <c r="A115" s="72"/>
      <c r="B115" s="72"/>
      <c r="C115" s="72"/>
      <c r="D115" s="72"/>
      <c r="E115" s="121"/>
      <c r="F115" s="72"/>
      <c r="G115" s="72"/>
      <c r="H115" s="72"/>
      <c r="I115" s="72"/>
      <c r="J115" s="72"/>
      <c r="K115" s="121"/>
      <c r="L115" s="72"/>
    </row>
    <row r="116" spans="1:12" ht="18">
      <c r="A116" s="72"/>
      <c r="B116" s="72"/>
      <c r="C116" s="72"/>
      <c r="D116" s="72"/>
      <c r="E116" s="121"/>
      <c r="F116" s="72"/>
      <c r="G116" s="72"/>
      <c r="H116" s="72"/>
      <c r="I116" s="72"/>
      <c r="J116" s="72"/>
      <c r="K116" s="121"/>
      <c r="L116" s="72"/>
    </row>
    <row r="117" spans="1:12" ht="18">
      <c r="A117" s="72"/>
      <c r="B117" s="72"/>
      <c r="C117" s="72"/>
      <c r="D117" s="72"/>
      <c r="E117" s="121"/>
      <c r="F117" s="72"/>
      <c r="G117" s="72"/>
      <c r="H117" s="72"/>
      <c r="I117" s="72"/>
      <c r="J117" s="72"/>
      <c r="K117" s="121"/>
      <c r="L117" s="72"/>
    </row>
    <row r="118" spans="1:12" ht="18">
      <c r="A118" s="72"/>
      <c r="B118" s="72"/>
      <c r="C118" s="72"/>
      <c r="D118" s="72"/>
      <c r="E118" s="121"/>
      <c r="F118" s="72"/>
      <c r="G118" s="72"/>
      <c r="H118" s="72"/>
      <c r="I118" s="72"/>
      <c r="J118" s="72"/>
      <c r="K118" s="121"/>
      <c r="L118" s="72"/>
    </row>
    <row r="119" spans="1:12" ht="18">
      <c r="A119" s="72"/>
      <c r="B119" s="72"/>
      <c r="C119" s="72"/>
      <c r="D119" s="72"/>
      <c r="E119" s="121"/>
      <c r="F119" s="72"/>
      <c r="G119" s="72"/>
      <c r="H119" s="72"/>
      <c r="I119" s="72"/>
      <c r="J119" s="72"/>
      <c r="K119" s="121"/>
      <c r="L119" s="72"/>
    </row>
    <row r="120" spans="1:12" ht="18">
      <c r="A120" s="72"/>
      <c r="B120" s="72"/>
      <c r="C120" s="72"/>
      <c r="D120" s="72"/>
      <c r="E120" s="121"/>
      <c r="F120" s="72"/>
      <c r="G120" s="72"/>
      <c r="H120" s="72"/>
      <c r="I120" s="72"/>
      <c r="J120" s="72"/>
      <c r="K120" s="121"/>
      <c r="L120" s="72"/>
    </row>
    <row r="121" spans="1:12" ht="18">
      <c r="A121" s="72"/>
      <c r="B121" s="72"/>
      <c r="C121" s="72"/>
      <c r="D121" s="72"/>
      <c r="E121" s="121"/>
      <c r="F121" s="72"/>
      <c r="G121" s="72"/>
      <c r="H121" s="72"/>
      <c r="I121" s="72"/>
      <c r="J121" s="72"/>
      <c r="K121" s="121"/>
      <c r="L121" s="72"/>
    </row>
    <row r="122" spans="1:12" ht="18">
      <c r="A122" s="72"/>
      <c r="B122" s="72"/>
      <c r="C122" s="72"/>
      <c r="D122" s="72"/>
      <c r="E122" s="121"/>
      <c r="F122" s="72"/>
      <c r="G122" s="72"/>
      <c r="H122" s="72"/>
      <c r="I122" s="72"/>
      <c r="J122" s="72"/>
      <c r="K122" s="121"/>
      <c r="L122" s="72"/>
    </row>
    <row r="123" spans="1:12" ht="18">
      <c r="A123" s="72"/>
      <c r="B123" s="72"/>
      <c r="C123" s="72"/>
      <c r="D123" s="72"/>
      <c r="E123" s="121"/>
      <c r="F123" s="72"/>
      <c r="G123" s="72"/>
      <c r="H123" s="72"/>
      <c r="I123" s="72"/>
      <c r="J123" s="72"/>
      <c r="K123" s="121"/>
      <c r="L123" s="72"/>
    </row>
    <row r="124" spans="1:12" ht="18">
      <c r="A124" s="72"/>
      <c r="B124" s="72"/>
      <c r="C124" s="72"/>
      <c r="D124" s="72"/>
      <c r="E124" s="121"/>
      <c r="F124" s="72"/>
      <c r="G124" s="72"/>
      <c r="H124" s="72"/>
      <c r="I124" s="72"/>
      <c r="J124" s="72"/>
      <c r="K124" s="121"/>
      <c r="L124" s="72"/>
    </row>
    <row r="125" spans="1:12" ht="18">
      <c r="A125" s="72"/>
      <c r="B125" s="72"/>
      <c r="C125" s="72"/>
      <c r="D125" s="72"/>
      <c r="E125" s="121"/>
      <c r="F125" s="72"/>
      <c r="G125" s="72"/>
      <c r="H125" s="72"/>
      <c r="I125" s="72"/>
      <c r="J125" s="72"/>
      <c r="K125" s="121"/>
      <c r="L125" s="72"/>
    </row>
    <row r="126" spans="1:12" ht="18">
      <c r="A126" s="72"/>
      <c r="B126" s="72"/>
      <c r="C126" s="72"/>
      <c r="D126" s="72"/>
      <c r="E126" s="121"/>
      <c r="F126" s="72"/>
      <c r="G126" s="72"/>
      <c r="H126" s="72"/>
      <c r="I126" s="72"/>
      <c r="J126" s="72"/>
      <c r="K126" s="121"/>
      <c r="L126" s="72"/>
    </row>
    <row r="127" spans="1:12" ht="18">
      <c r="A127" s="72"/>
      <c r="B127" s="72"/>
      <c r="C127" s="72"/>
      <c r="D127" s="72"/>
      <c r="E127" s="121"/>
      <c r="F127" s="72"/>
      <c r="G127" s="72"/>
      <c r="H127" s="72"/>
      <c r="I127" s="72"/>
      <c r="J127" s="72"/>
      <c r="K127" s="121"/>
      <c r="L127" s="72"/>
    </row>
    <row r="128" spans="1:12" ht="18">
      <c r="A128" s="72"/>
      <c r="B128" s="72"/>
      <c r="C128" s="72"/>
      <c r="D128" s="72"/>
      <c r="E128" s="121"/>
      <c r="F128" s="72"/>
      <c r="G128" s="72"/>
      <c r="H128" s="72"/>
      <c r="I128" s="72"/>
      <c r="J128" s="72"/>
      <c r="K128" s="121"/>
      <c r="L128" s="72"/>
    </row>
    <row r="129" spans="1:12" ht="18">
      <c r="A129" s="72"/>
      <c r="B129" s="72"/>
      <c r="C129" s="72"/>
      <c r="D129" s="72"/>
      <c r="E129" s="121"/>
      <c r="F129" s="72"/>
      <c r="G129" s="72"/>
      <c r="H129" s="72"/>
      <c r="I129" s="72"/>
      <c r="J129" s="72"/>
      <c r="K129" s="121"/>
      <c r="L129" s="72"/>
    </row>
    <row r="130" spans="1:12" ht="18">
      <c r="A130" s="72"/>
      <c r="B130" s="72"/>
      <c r="C130" s="72"/>
      <c r="D130" s="72"/>
      <c r="E130" s="121"/>
      <c r="F130" s="72"/>
      <c r="G130" s="72"/>
      <c r="H130" s="72"/>
      <c r="I130" s="72"/>
      <c r="J130" s="72"/>
      <c r="K130" s="121"/>
      <c r="L130" s="72"/>
    </row>
    <row r="131" spans="1:12" ht="18">
      <c r="A131" s="72"/>
      <c r="B131" s="72"/>
      <c r="C131" s="72"/>
      <c r="D131" s="72"/>
      <c r="E131" s="121"/>
      <c r="F131" s="72"/>
      <c r="G131" s="72"/>
      <c r="H131" s="72"/>
      <c r="I131" s="72"/>
      <c r="J131" s="72"/>
      <c r="K131" s="121"/>
      <c r="L131" s="72"/>
    </row>
    <row r="132" spans="1:12" ht="18">
      <c r="A132" s="72"/>
      <c r="B132" s="72"/>
      <c r="C132" s="72"/>
      <c r="D132" s="72"/>
      <c r="E132" s="121"/>
      <c r="F132" s="72"/>
      <c r="G132" s="72"/>
      <c r="H132" s="72"/>
      <c r="I132" s="72"/>
      <c r="J132" s="72"/>
      <c r="K132" s="121"/>
      <c r="L132" s="72"/>
    </row>
    <row r="133" spans="1:12" ht="18">
      <c r="A133" s="72"/>
      <c r="B133" s="72"/>
      <c r="C133" s="72"/>
      <c r="D133" s="72"/>
      <c r="E133" s="121"/>
      <c r="F133" s="72"/>
      <c r="G133" s="72"/>
      <c r="H133" s="72"/>
      <c r="I133" s="72"/>
      <c r="J133" s="72"/>
      <c r="K133" s="121"/>
      <c r="L133" s="72"/>
    </row>
    <row r="134" spans="1:12" ht="18">
      <c r="A134" s="72"/>
      <c r="B134" s="72"/>
      <c r="C134" s="72"/>
      <c r="D134" s="72"/>
      <c r="E134" s="121"/>
      <c r="F134" s="72"/>
      <c r="G134" s="72"/>
      <c r="H134" s="72"/>
      <c r="I134" s="72"/>
      <c r="J134" s="72"/>
      <c r="K134" s="121"/>
      <c r="L134" s="72"/>
    </row>
    <row r="135" spans="1:12" ht="18">
      <c r="A135" s="72"/>
      <c r="B135" s="72"/>
      <c r="C135" s="72"/>
      <c r="D135" s="72"/>
      <c r="E135" s="121"/>
      <c r="F135" s="72"/>
      <c r="G135" s="72"/>
      <c r="H135" s="72"/>
      <c r="I135" s="72"/>
      <c r="J135" s="72"/>
      <c r="K135" s="121"/>
      <c r="L135" s="72"/>
    </row>
    <row r="136" spans="1:12" ht="18">
      <c r="A136" s="72"/>
      <c r="B136" s="72"/>
      <c r="C136" s="72"/>
      <c r="D136" s="72"/>
      <c r="E136" s="121"/>
      <c r="F136" s="72"/>
      <c r="G136" s="72"/>
      <c r="H136" s="72"/>
      <c r="I136" s="72"/>
      <c r="J136" s="72"/>
      <c r="K136" s="121"/>
      <c r="L136" s="72"/>
    </row>
    <row r="137" spans="1:12" ht="18">
      <c r="A137" s="72"/>
      <c r="B137" s="72"/>
      <c r="C137" s="72"/>
      <c r="D137" s="72"/>
      <c r="E137" s="121"/>
      <c r="F137" s="72"/>
      <c r="G137" s="72"/>
      <c r="H137" s="72"/>
      <c r="I137" s="72"/>
      <c r="J137" s="72"/>
      <c r="K137" s="121"/>
      <c r="L137" s="72"/>
    </row>
    <row r="138" spans="1:12" ht="18">
      <c r="A138" s="72"/>
      <c r="B138" s="72"/>
      <c r="C138" s="72"/>
      <c r="D138" s="72"/>
      <c r="E138" s="121"/>
      <c r="F138" s="72"/>
      <c r="G138" s="72"/>
      <c r="H138" s="72"/>
      <c r="I138" s="72"/>
      <c r="J138" s="72"/>
      <c r="K138" s="121"/>
      <c r="L138" s="72"/>
    </row>
    <row r="139" spans="1:12" ht="18">
      <c r="A139" s="72"/>
      <c r="B139" s="72"/>
      <c r="C139" s="72"/>
      <c r="D139" s="72"/>
      <c r="E139" s="121"/>
      <c r="F139" s="72"/>
      <c r="G139" s="72"/>
      <c r="H139" s="72"/>
      <c r="I139" s="72"/>
      <c r="J139" s="72"/>
      <c r="K139" s="121"/>
      <c r="L139" s="72"/>
    </row>
    <row r="140" spans="1:12" ht="18">
      <c r="A140" s="72"/>
      <c r="B140" s="72"/>
      <c r="C140" s="72"/>
      <c r="D140" s="72"/>
      <c r="E140" s="121"/>
      <c r="F140" s="72"/>
      <c r="G140" s="72"/>
      <c r="H140" s="72"/>
      <c r="I140" s="72"/>
      <c r="J140" s="72"/>
      <c r="K140" s="121"/>
      <c r="L140" s="72"/>
    </row>
    <row r="141" spans="1:12" ht="18">
      <c r="A141" s="72"/>
      <c r="B141" s="72"/>
      <c r="C141" s="72"/>
      <c r="D141" s="72"/>
      <c r="E141" s="121"/>
      <c r="F141" s="72"/>
      <c r="G141" s="72"/>
      <c r="H141" s="72"/>
      <c r="I141" s="72"/>
      <c r="J141" s="72"/>
      <c r="K141" s="121"/>
      <c r="L141" s="72"/>
    </row>
    <row r="142" spans="1:12" ht="18">
      <c r="A142" s="72"/>
      <c r="B142" s="72"/>
      <c r="C142" s="72"/>
      <c r="D142" s="72"/>
      <c r="E142" s="121"/>
      <c r="F142" s="72"/>
      <c r="G142" s="72"/>
      <c r="H142" s="72"/>
      <c r="I142" s="72"/>
      <c r="J142" s="72"/>
      <c r="K142" s="121"/>
      <c r="L142" s="72"/>
    </row>
    <row r="143" spans="1:12" ht="18">
      <c r="A143" s="72"/>
      <c r="B143" s="72"/>
      <c r="C143" s="72"/>
      <c r="D143" s="72"/>
      <c r="E143" s="121"/>
      <c r="F143" s="72"/>
      <c r="G143" s="72"/>
      <c r="H143" s="72"/>
      <c r="I143" s="72"/>
      <c r="J143" s="72"/>
      <c r="K143" s="121"/>
      <c r="L143" s="72"/>
    </row>
    <row r="144" spans="1:12" ht="18">
      <c r="A144" s="72"/>
      <c r="B144" s="72"/>
      <c r="C144" s="72"/>
      <c r="D144" s="72"/>
      <c r="E144" s="121"/>
      <c r="F144" s="72"/>
      <c r="G144" s="72"/>
      <c r="H144" s="72"/>
      <c r="I144" s="72"/>
      <c r="J144" s="72"/>
      <c r="K144" s="121"/>
      <c r="L144" s="72"/>
    </row>
    <row r="145" spans="1:12" ht="18">
      <c r="A145" s="72"/>
      <c r="B145" s="72"/>
      <c r="C145" s="72"/>
      <c r="D145" s="72"/>
      <c r="E145" s="121"/>
      <c r="F145" s="72"/>
      <c r="G145" s="72"/>
      <c r="H145" s="72"/>
      <c r="I145" s="72"/>
      <c r="J145" s="72"/>
      <c r="K145" s="121"/>
      <c r="L145" s="72"/>
    </row>
    <row r="146" spans="1:12" ht="18">
      <c r="A146" s="72"/>
      <c r="B146" s="72"/>
      <c r="C146" s="72"/>
      <c r="D146" s="72"/>
      <c r="E146" s="121"/>
      <c r="F146" s="72"/>
      <c r="G146" s="72"/>
      <c r="H146" s="72"/>
      <c r="I146" s="72"/>
      <c r="J146" s="72"/>
      <c r="K146" s="121"/>
      <c r="L146" s="72"/>
    </row>
    <row r="147" spans="1:12" ht="18">
      <c r="A147" s="72"/>
      <c r="B147" s="72"/>
      <c r="C147" s="72"/>
      <c r="D147" s="72"/>
      <c r="E147" s="121"/>
      <c r="F147" s="72"/>
      <c r="G147" s="72"/>
      <c r="H147" s="72"/>
      <c r="I147" s="72"/>
      <c r="J147" s="72"/>
      <c r="K147" s="121"/>
      <c r="L147" s="72"/>
    </row>
    <row r="148" spans="1:12" ht="18">
      <c r="A148" s="72"/>
      <c r="B148" s="72"/>
      <c r="C148" s="72"/>
      <c r="D148" s="72"/>
      <c r="E148" s="121"/>
      <c r="F148" s="72"/>
      <c r="G148" s="72"/>
      <c r="H148" s="72"/>
      <c r="I148" s="72"/>
      <c r="J148" s="72"/>
      <c r="K148" s="121"/>
      <c r="L148" s="72"/>
    </row>
    <row r="149" spans="1:12" ht="18">
      <c r="A149" s="72"/>
      <c r="B149" s="72"/>
      <c r="C149" s="72"/>
      <c r="D149" s="72"/>
      <c r="E149" s="121"/>
      <c r="F149" s="72"/>
      <c r="G149" s="72"/>
      <c r="H149" s="72"/>
      <c r="I149" s="72"/>
      <c r="J149" s="72"/>
      <c r="K149" s="121"/>
      <c r="L149" s="72"/>
    </row>
    <row r="150" spans="1:12" ht="18">
      <c r="A150" s="72"/>
      <c r="B150" s="72"/>
      <c r="C150" s="72"/>
      <c r="D150" s="72"/>
      <c r="E150" s="121"/>
      <c r="F150" s="72"/>
      <c r="G150" s="72"/>
      <c r="H150" s="72"/>
      <c r="I150" s="72"/>
      <c r="J150" s="72"/>
      <c r="K150" s="121"/>
      <c r="L150" s="72"/>
    </row>
    <row r="151" spans="1:12" ht="18">
      <c r="A151" s="72"/>
      <c r="B151" s="72"/>
      <c r="C151" s="72"/>
      <c r="D151" s="72"/>
      <c r="E151" s="121"/>
      <c r="F151" s="72"/>
      <c r="G151" s="72"/>
      <c r="H151" s="72"/>
      <c r="I151" s="72"/>
      <c r="J151" s="72"/>
      <c r="K151" s="121"/>
      <c r="L151" s="72"/>
    </row>
    <row r="152" spans="1:12" ht="18">
      <c r="A152" s="72"/>
      <c r="B152" s="72"/>
      <c r="C152" s="72"/>
      <c r="D152" s="72"/>
      <c r="E152" s="121"/>
      <c r="F152" s="72"/>
      <c r="G152" s="72"/>
      <c r="H152" s="72"/>
      <c r="I152" s="72"/>
      <c r="J152" s="72"/>
      <c r="K152" s="121"/>
      <c r="L152" s="72"/>
    </row>
    <row r="153" spans="1:12" ht="18">
      <c r="A153" s="72"/>
      <c r="B153" s="72"/>
      <c r="C153" s="72"/>
      <c r="D153" s="72"/>
      <c r="E153" s="121"/>
      <c r="F153" s="72"/>
      <c r="G153" s="72"/>
      <c r="H153" s="72"/>
      <c r="I153" s="72"/>
      <c r="J153" s="72"/>
      <c r="K153" s="121"/>
      <c r="L153" s="72"/>
    </row>
    <row r="154" spans="1:12" ht="18">
      <c r="A154" s="72"/>
      <c r="B154" s="72"/>
      <c r="C154" s="72"/>
      <c r="D154" s="72"/>
      <c r="E154" s="121"/>
      <c r="F154" s="72"/>
      <c r="G154" s="72"/>
      <c r="H154" s="72"/>
      <c r="I154" s="72"/>
      <c r="J154" s="72"/>
      <c r="K154" s="121"/>
      <c r="L154" s="72"/>
    </row>
    <row r="155" spans="1:12" ht="18">
      <c r="A155" s="72"/>
      <c r="B155" s="72"/>
      <c r="C155" s="72"/>
      <c r="D155" s="72"/>
      <c r="E155" s="121"/>
      <c r="F155" s="72"/>
      <c r="G155" s="72"/>
      <c r="H155" s="72"/>
      <c r="I155" s="72"/>
      <c r="J155" s="72"/>
      <c r="K155" s="121"/>
      <c r="L155" s="72"/>
    </row>
    <row r="156" spans="1:12" ht="18">
      <c r="A156" s="72"/>
      <c r="B156" s="72"/>
      <c r="C156" s="72"/>
      <c r="D156" s="72"/>
      <c r="E156" s="121"/>
      <c r="F156" s="72"/>
      <c r="G156" s="72"/>
      <c r="H156" s="72"/>
      <c r="I156" s="72"/>
      <c r="J156" s="72"/>
      <c r="K156" s="121"/>
      <c r="L156" s="72"/>
    </row>
    <row r="157" spans="1:12" ht="18">
      <c r="A157" s="72"/>
      <c r="B157" s="72"/>
      <c r="C157" s="72"/>
      <c r="D157" s="72"/>
      <c r="E157" s="121"/>
      <c r="F157" s="72"/>
      <c r="G157" s="72"/>
      <c r="H157" s="72"/>
      <c r="I157" s="72"/>
      <c r="J157" s="72"/>
      <c r="K157" s="121"/>
      <c r="L157" s="72"/>
    </row>
    <row r="158" spans="1:12" ht="18">
      <c r="A158" s="72"/>
      <c r="B158" s="72"/>
      <c r="C158" s="72"/>
      <c r="D158" s="72"/>
      <c r="E158" s="121"/>
      <c r="F158" s="72"/>
      <c r="G158" s="72"/>
      <c r="H158" s="72"/>
      <c r="I158" s="72"/>
      <c r="J158" s="72"/>
      <c r="K158" s="121"/>
      <c r="L158" s="72"/>
    </row>
    <row r="159" spans="1:12" ht="18">
      <c r="A159" s="72"/>
      <c r="B159" s="72"/>
      <c r="C159" s="72"/>
      <c r="D159" s="72"/>
      <c r="E159" s="121"/>
      <c r="F159" s="72"/>
      <c r="G159" s="72"/>
      <c r="H159" s="72"/>
      <c r="I159" s="72"/>
      <c r="J159" s="72"/>
      <c r="K159" s="121"/>
      <c r="L159" s="72"/>
    </row>
    <row r="160" spans="1:12" ht="18">
      <c r="A160" s="72"/>
      <c r="B160" s="72"/>
      <c r="C160" s="72"/>
      <c r="D160" s="72"/>
      <c r="E160" s="121"/>
      <c r="F160" s="72"/>
      <c r="G160" s="72"/>
      <c r="H160" s="72"/>
      <c r="I160" s="72"/>
      <c r="J160" s="72"/>
      <c r="K160" s="121"/>
      <c r="L160" s="72"/>
    </row>
    <row r="161" spans="1:12" ht="18">
      <c r="A161" s="72"/>
      <c r="B161" s="72"/>
      <c r="C161" s="72"/>
      <c r="D161" s="72"/>
      <c r="E161" s="121"/>
      <c r="F161" s="72"/>
      <c r="G161" s="72"/>
      <c r="H161" s="72"/>
      <c r="I161" s="72"/>
      <c r="J161" s="72"/>
      <c r="K161" s="121"/>
      <c r="L161" s="72"/>
    </row>
    <row r="162" spans="1:12" ht="18">
      <c r="A162" s="72"/>
      <c r="B162" s="72"/>
      <c r="C162" s="72"/>
      <c r="D162" s="72"/>
      <c r="E162" s="121"/>
      <c r="F162" s="72"/>
      <c r="G162" s="72"/>
      <c r="H162" s="72"/>
      <c r="I162" s="72"/>
      <c r="J162" s="72"/>
      <c r="K162" s="121"/>
      <c r="L162" s="72"/>
    </row>
    <row r="163" spans="1:12" ht="18">
      <c r="A163" s="72"/>
      <c r="B163" s="72"/>
      <c r="C163" s="72"/>
      <c r="D163" s="72"/>
      <c r="E163" s="121"/>
      <c r="F163" s="72"/>
      <c r="G163" s="72"/>
      <c r="H163" s="72"/>
      <c r="I163" s="72"/>
      <c r="J163" s="72"/>
      <c r="K163" s="121"/>
      <c r="L163" s="72"/>
    </row>
    <row r="164" spans="1:12" ht="18">
      <c r="A164" s="72"/>
      <c r="B164" s="72"/>
      <c r="C164" s="72"/>
      <c r="D164" s="72"/>
      <c r="E164" s="121"/>
      <c r="F164" s="72"/>
      <c r="G164" s="72"/>
      <c r="H164" s="72"/>
      <c r="I164" s="72"/>
      <c r="J164" s="72"/>
      <c r="K164" s="121"/>
      <c r="L164" s="72"/>
    </row>
    <row r="165" spans="1:12" ht="18">
      <c r="A165" s="72"/>
      <c r="B165" s="72"/>
      <c r="C165" s="72"/>
      <c r="D165" s="72"/>
      <c r="E165" s="121"/>
      <c r="F165" s="72"/>
      <c r="G165" s="72"/>
      <c r="H165" s="72"/>
      <c r="I165" s="72"/>
      <c r="J165" s="72"/>
      <c r="K165" s="121"/>
      <c r="L165" s="72"/>
    </row>
    <row r="166" spans="1:12" ht="18">
      <c r="A166" s="72"/>
      <c r="B166" s="72"/>
      <c r="C166" s="72"/>
      <c r="D166" s="72"/>
      <c r="E166" s="121"/>
      <c r="F166" s="72"/>
      <c r="G166" s="72"/>
      <c r="H166" s="72"/>
      <c r="I166" s="72"/>
      <c r="J166" s="72"/>
      <c r="K166" s="121"/>
      <c r="L166" s="72"/>
    </row>
    <row r="167" spans="1:12" ht="18">
      <c r="A167" s="72"/>
      <c r="B167" s="72"/>
      <c r="C167" s="72"/>
      <c r="D167" s="72"/>
      <c r="E167" s="121"/>
      <c r="F167" s="72"/>
      <c r="G167" s="72"/>
      <c r="H167" s="72"/>
      <c r="I167" s="72"/>
      <c r="J167" s="72"/>
      <c r="K167" s="121"/>
      <c r="L167" s="72"/>
    </row>
    <row r="168" spans="1:12" ht="18">
      <c r="A168" s="72"/>
      <c r="B168" s="72"/>
      <c r="C168" s="72"/>
      <c r="D168" s="72"/>
      <c r="E168" s="121"/>
      <c r="F168" s="72"/>
      <c r="G168" s="72"/>
      <c r="H168" s="72"/>
      <c r="I168" s="72"/>
      <c r="J168" s="72"/>
      <c r="K168" s="121"/>
      <c r="L168" s="72"/>
    </row>
    <row r="169" spans="1:12" ht="18">
      <c r="A169" s="72"/>
      <c r="B169" s="72"/>
      <c r="C169" s="72"/>
      <c r="D169" s="72"/>
      <c r="E169" s="121"/>
      <c r="F169" s="72"/>
      <c r="G169" s="72"/>
      <c r="H169" s="72"/>
      <c r="I169" s="72"/>
      <c r="J169" s="72"/>
      <c r="K169" s="121"/>
      <c r="L169" s="72"/>
    </row>
    <row r="170" spans="1:12" ht="18">
      <c r="A170" s="72"/>
      <c r="B170" s="72"/>
      <c r="C170" s="72"/>
      <c r="D170" s="72"/>
      <c r="E170" s="121"/>
      <c r="F170" s="72"/>
      <c r="G170" s="72"/>
      <c r="H170" s="72"/>
      <c r="I170" s="72"/>
      <c r="J170" s="72"/>
      <c r="K170" s="121"/>
      <c r="L170" s="72"/>
    </row>
    <row r="171" spans="1:12" ht="18">
      <c r="A171" s="72"/>
      <c r="B171" s="72"/>
      <c r="C171" s="72"/>
      <c r="D171" s="72"/>
      <c r="E171" s="121"/>
      <c r="F171" s="72"/>
      <c r="G171" s="72"/>
      <c r="H171" s="72"/>
      <c r="I171" s="72"/>
      <c r="J171" s="72"/>
      <c r="K171" s="121"/>
      <c r="L171" s="72"/>
    </row>
    <row r="172" spans="1:12" ht="18">
      <c r="A172" s="72"/>
      <c r="B172" s="72"/>
      <c r="C172" s="72"/>
      <c r="D172" s="72"/>
      <c r="E172" s="121"/>
      <c r="F172" s="72"/>
      <c r="G172" s="72"/>
      <c r="H172" s="72"/>
      <c r="I172" s="72"/>
      <c r="J172" s="72"/>
      <c r="K172" s="121"/>
      <c r="L172" s="72"/>
    </row>
    <row r="173" spans="1:12" ht="18">
      <c r="A173" s="72"/>
      <c r="B173" s="72"/>
      <c r="C173" s="72"/>
      <c r="D173" s="72"/>
      <c r="E173" s="121"/>
      <c r="F173" s="72"/>
      <c r="G173" s="72"/>
      <c r="H173" s="72"/>
      <c r="I173" s="72"/>
      <c r="J173" s="72"/>
      <c r="K173" s="121"/>
      <c r="L173" s="72"/>
    </row>
    <row r="174" spans="1:12" ht="18">
      <c r="A174" s="72"/>
      <c r="B174" s="72"/>
      <c r="C174" s="72"/>
      <c r="D174" s="72"/>
      <c r="E174" s="121"/>
      <c r="F174" s="72"/>
      <c r="G174" s="72"/>
      <c r="H174" s="72"/>
      <c r="I174" s="72"/>
      <c r="J174" s="72"/>
      <c r="K174" s="121"/>
      <c r="L174" s="72"/>
    </row>
    <row r="175" spans="1:12" ht="18">
      <c r="A175" s="72"/>
      <c r="B175" s="72"/>
      <c r="C175" s="72"/>
      <c r="D175" s="72"/>
      <c r="E175" s="121"/>
      <c r="F175" s="72"/>
      <c r="G175" s="72"/>
      <c r="H175" s="72"/>
      <c r="I175" s="72"/>
      <c r="J175" s="72"/>
      <c r="K175" s="121"/>
      <c r="L175" s="72"/>
    </row>
    <row r="176" spans="1:12" ht="18">
      <c r="A176" s="72"/>
      <c r="B176" s="72"/>
      <c r="C176" s="72"/>
      <c r="D176" s="72"/>
      <c r="E176" s="121"/>
      <c r="F176" s="72"/>
      <c r="G176" s="72"/>
      <c r="H176" s="72"/>
      <c r="I176" s="72"/>
      <c r="J176" s="72"/>
      <c r="K176" s="121"/>
      <c r="L176" s="72"/>
    </row>
    <row r="177" spans="1:12" ht="18">
      <c r="A177" s="72"/>
      <c r="B177" s="72"/>
      <c r="C177" s="72"/>
      <c r="D177" s="72"/>
      <c r="E177" s="121"/>
      <c r="F177" s="72"/>
      <c r="G177" s="72"/>
      <c r="H177" s="72"/>
      <c r="I177" s="72"/>
      <c r="J177" s="72"/>
      <c r="K177" s="121"/>
      <c r="L177" s="72"/>
    </row>
    <row r="178" spans="1:12" ht="18">
      <c r="A178" s="72"/>
      <c r="B178" s="72"/>
      <c r="C178" s="72"/>
      <c r="D178" s="72"/>
      <c r="E178" s="121"/>
      <c r="F178" s="72"/>
      <c r="G178" s="72"/>
      <c r="H178" s="72"/>
      <c r="I178" s="72"/>
      <c r="J178" s="72"/>
      <c r="K178" s="121"/>
      <c r="L178" s="72"/>
    </row>
    <row r="179" spans="1:12" ht="18">
      <c r="A179" s="72"/>
      <c r="B179" s="72"/>
      <c r="C179" s="72"/>
      <c r="D179" s="72"/>
      <c r="E179" s="121"/>
      <c r="F179" s="72"/>
      <c r="G179" s="72"/>
      <c r="H179" s="72"/>
      <c r="I179" s="72"/>
      <c r="J179" s="72"/>
      <c r="K179" s="121"/>
      <c r="L179" s="72"/>
    </row>
    <row r="180" spans="1:12" ht="18">
      <c r="A180" s="72"/>
      <c r="B180" s="72"/>
      <c r="C180" s="72"/>
      <c r="D180" s="72"/>
      <c r="E180" s="121"/>
      <c r="F180" s="72"/>
      <c r="G180" s="72"/>
      <c r="H180" s="72"/>
      <c r="I180" s="72"/>
      <c r="J180" s="72"/>
      <c r="K180" s="121"/>
      <c r="L180" s="72"/>
    </row>
    <row r="181" spans="1:12" ht="18">
      <c r="A181" s="72"/>
      <c r="B181" s="72"/>
      <c r="C181" s="72"/>
      <c r="D181" s="72"/>
      <c r="E181" s="121"/>
      <c r="F181" s="72"/>
      <c r="G181" s="72"/>
      <c r="H181" s="72"/>
      <c r="I181" s="72"/>
      <c r="J181" s="72"/>
      <c r="K181" s="121"/>
      <c r="L181" s="72"/>
    </row>
    <row r="182" spans="1:12" ht="18">
      <c r="A182" s="72"/>
      <c r="B182" s="72"/>
      <c r="C182" s="72"/>
      <c r="D182" s="72"/>
      <c r="E182" s="121"/>
      <c r="F182" s="72"/>
      <c r="G182" s="72"/>
      <c r="H182" s="72"/>
      <c r="I182" s="72"/>
      <c r="J182" s="72"/>
      <c r="K182" s="121"/>
      <c r="L182" s="72"/>
    </row>
    <row r="183" spans="1:12" ht="18">
      <c r="A183" s="72"/>
      <c r="B183" s="72"/>
      <c r="C183" s="72"/>
      <c r="D183" s="72"/>
      <c r="E183" s="121"/>
      <c r="F183" s="72"/>
      <c r="G183" s="72"/>
      <c r="H183" s="72"/>
      <c r="I183" s="72"/>
      <c r="J183" s="72"/>
      <c r="K183" s="121"/>
      <c r="L183" s="72"/>
    </row>
    <row r="184" spans="1:12" ht="18">
      <c r="A184" s="72"/>
      <c r="B184" s="72"/>
      <c r="C184" s="72"/>
      <c r="D184" s="72"/>
      <c r="E184" s="121"/>
      <c r="F184" s="72"/>
      <c r="G184" s="72"/>
      <c r="H184" s="72"/>
      <c r="I184" s="72"/>
      <c r="J184" s="72"/>
      <c r="K184" s="121"/>
      <c r="L184" s="72"/>
    </row>
    <row r="185" spans="1:12" ht="18">
      <c r="A185" s="72"/>
      <c r="B185" s="72"/>
      <c r="C185" s="72"/>
      <c r="D185" s="72"/>
      <c r="E185" s="121"/>
      <c r="F185" s="72"/>
      <c r="G185" s="72"/>
      <c r="H185" s="72"/>
      <c r="I185" s="72"/>
      <c r="J185" s="72"/>
      <c r="K185" s="121"/>
      <c r="L185" s="72"/>
    </row>
    <row r="186" spans="1:12" ht="18">
      <c r="A186" s="72"/>
      <c r="B186" s="72"/>
      <c r="C186" s="72"/>
      <c r="D186" s="72"/>
      <c r="E186" s="121"/>
      <c r="F186" s="72"/>
      <c r="G186" s="72"/>
      <c r="H186" s="72"/>
      <c r="I186" s="72"/>
      <c r="J186" s="72"/>
      <c r="K186" s="121"/>
      <c r="L186" s="72"/>
    </row>
    <row r="187" spans="1:12" ht="18">
      <c r="A187" s="72"/>
      <c r="B187" s="72"/>
      <c r="C187" s="72"/>
      <c r="D187" s="72"/>
      <c r="E187" s="121"/>
      <c r="F187" s="72"/>
      <c r="G187" s="72"/>
      <c r="H187" s="72"/>
      <c r="I187" s="72"/>
      <c r="J187" s="72"/>
      <c r="K187" s="121"/>
      <c r="L187" s="72"/>
    </row>
    <row r="188" spans="1:12" ht="18">
      <c r="A188" s="72"/>
      <c r="B188" s="72"/>
      <c r="C188" s="72"/>
      <c r="D188" s="72"/>
      <c r="E188" s="121"/>
      <c r="F188" s="72"/>
      <c r="G188" s="72"/>
      <c r="H188" s="72"/>
      <c r="I188" s="72"/>
      <c r="J188" s="72"/>
      <c r="K188" s="121"/>
      <c r="L188" s="72"/>
    </row>
    <row r="189" spans="1:12" ht="18">
      <c r="A189" s="72"/>
      <c r="B189" s="72"/>
      <c r="C189" s="72"/>
      <c r="D189" s="72"/>
      <c r="E189" s="121"/>
      <c r="F189" s="72"/>
      <c r="G189" s="72"/>
      <c r="H189" s="72"/>
      <c r="I189" s="72"/>
      <c r="J189" s="72"/>
      <c r="K189" s="121"/>
      <c r="L189" s="72"/>
    </row>
    <row r="190" spans="1:12" ht="18">
      <c r="A190" s="72"/>
      <c r="B190" s="72"/>
      <c r="C190" s="72"/>
      <c r="D190" s="72"/>
      <c r="E190" s="121"/>
      <c r="F190" s="72"/>
      <c r="G190" s="72"/>
      <c r="H190" s="72"/>
      <c r="I190" s="72"/>
      <c r="J190" s="72"/>
      <c r="K190" s="121"/>
      <c r="L190" s="72"/>
    </row>
    <row r="191" spans="1:12" ht="18">
      <c r="A191" s="72"/>
      <c r="B191" s="72"/>
      <c r="C191" s="72"/>
      <c r="D191" s="72"/>
      <c r="E191" s="121"/>
      <c r="F191" s="72"/>
      <c r="G191" s="72"/>
      <c r="H191" s="72"/>
      <c r="I191" s="72"/>
      <c r="J191" s="72"/>
      <c r="K191" s="121"/>
      <c r="L191" s="72"/>
    </row>
    <row r="192" spans="1:12" ht="18">
      <c r="A192" s="72"/>
      <c r="B192" s="72"/>
      <c r="C192" s="72"/>
      <c r="D192" s="72"/>
      <c r="E192" s="121"/>
      <c r="F192" s="72"/>
      <c r="G192" s="72"/>
      <c r="H192" s="72"/>
      <c r="I192" s="72"/>
      <c r="J192" s="72"/>
      <c r="K192" s="121"/>
      <c r="L192" s="72"/>
    </row>
    <row r="193" spans="1:12" ht="18">
      <c r="A193" s="72"/>
      <c r="B193" s="72"/>
      <c r="C193" s="72"/>
      <c r="D193" s="72"/>
      <c r="E193" s="121"/>
      <c r="F193" s="72"/>
      <c r="G193" s="72"/>
      <c r="H193" s="72"/>
      <c r="I193" s="72"/>
      <c r="J193" s="72"/>
      <c r="K193" s="121"/>
      <c r="L193" s="72"/>
    </row>
    <row r="194" spans="1:12" ht="18">
      <c r="A194" s="72"/>
      <c r="B194" s="72"/>
      <c r="C194" s="72"/>
      <c r="D194" s="72"/>
      <c r="E194" s="121"/>
      <c r="F194" s="72"/>
      <c r="G194" s="72"/>
      <c r="H194" s="72"/>
      <c r="I194" s="72"/>
      <c r="J194" s="72"/>
      <c r="K194" s="121"/>
      <c r="L194" s="72"/>
    </row>
  </sheetData>
  <mergeCells count="15">
    <mergeCell ref="A1:L1"/>
    <mergeCell ref="A2:L2"/>
    <mergeCell ref="A3:F3"/>
    <mergeCell ref="G3:L3"/>
    <mergeCell ref="A4:F4"/>
    <mergeCell ref="G4:L4"/>
    <mergeCell ref="A74:F74"/>
    <mergeCell ref="G74:L74"/>
    <mergeCell ref="A80:L80"/>
    <mergeCell ref="A37:F37"/>
    <mergeCell ref="G37:L37"/>
    <mergeCell ref="A47:F47"/>
    <mergeCell ref="G47:L47"/>
    <mergeCell ref="A60:F60"/>
    <mergeCell ref="G60:L60"/>
  </mergeCells>
  <phoneticPr fontId="5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39"/>
  <sheetViews>
    <sheetView workbookViewId="0">
      <selection activeCell="A32" sqref="A32:L32"/>
    </sheetView>
  </sheetViews>
  <sheetFormatPr baseColWidth="10" defaultColWidth="11" defaultRowHeight="16"/>
  <cols>
    <col min="1" max="1" width="47" style="74" customWidth="1"/>
    <col min="2" max="2" width="12.83203125" style="75" customWidth="1"/>
    <col min="3" max="3" width="14.33203125" style="74" customWidth="1"/>
    <col min="4" max="4" width="15.5" customWidth="1"/>
    <col min="5" max="5" width="16.33203125" style="75" customWidth="1"/>
    <col min="6" max="6" width="10.83203125" style="74"/>
    <col min="7" max="7" width="46.6640625" customWidth="1"/>
    <col min="8" max="8" width="14.6640625" style="75" customWidth="1"/>
    <col min="9" max="9" width="17.33203125" style="74" customWidth="1"/>
    <col min="11" max="11" width="28.5" customWidth="1"/>
    <col min="12" max="12" width="10.83203125" style="74"/>
  </cols>
  <sheetData>
    <row r="1" spans="1:12" s="72" customFormat="1" ht="41" customHeight="1">
      <c r="A1" s="231" t="s">
        <v>55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1:12" s="72" customFormat="1" ht="33" customHeight="1">
      <c r="A2" s="232" t="s">
        <v>198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</row>
    <row r="3" spans="1:12" s="72" customFormat="1" ht="18">
      <c r="A3" s="236" t="s">
        <v>57</v>
      </c>
      <c r="B3" s="236"/>
      <c r="C3" s="236"/>
      <c r="D3" s="236"/>
      <c r="E3" s="236"/>
      <c r="F3" s="236"/>
      <c r="G3" s="237" t="s">
        <v>58</v>
      </c>
      <c r="H3" s="237"/>
      <c r="I3" s="237"/>
      <c r="J3" s="237"/>
      <c r="K3" s="237"/>
      <c r="L3" s="237"/>
    </row>
    <row r="4" spans="1:12" s="72" customFormat="1" ht="18">
      <c r="A4" s="77" t="s">
        <v>199</v>
      </c>
      <c r="B4" s="78">
        <v>4.38</v>
      </c>
      <c r="C4" s="77" t="s">
        <v>200</v>
      </c>
      <c r="D4" s="79" t="s">
        <v>201</v>
      </c>
      <c r="E4" s="85">
        <f>B4*60*8*'Remuneration scales for staff'!H3*'Scenario 1'!B10/2/8</f>
        <v>21057.692307692301</v>
      </c>
      <c r="F4" s="77" t="s">
        <v>66</v>
      </c>
      <c r="G4" s="86" t="s">
        <v>199</v>
      </c>
      <c r="H4" s="78">
        <v>8.1199999999999992</v>
      </c>
      <c r="I4" s="86" t="s">
        <v>200</v>
      </c>
      <c r="J4" s="89" t="s">
        <v>201</v>
      </c>
      <c r="K4" s="85">
        <f>H4*60*8*'Remuneration scales for staff'!H3*'Scenario 1'!C10/2/5</f>
        <v>62461.538461538497</v>
      </c>
      <c r="L4" s="86" t="s">
        <v>66</v>
      </c>
    </row>
    <row r="5" spans="1:12" s="72" customFormat="1" ht="18">
      <c r="A5" s="77" t="s">
        <v>202</v>
      </c>
      <c r="B5" s="80">
        <f>B4/6/52</f>
        <v>1.40384615384615E-2</v>
      </c>
      <c r="C5" s="77" t="s">
        <v>200</v>
      </c>
      <c r="D5" s="79" t="s">
        <v>201</v>
      </c>
      <c r="E5" s="85">
        <f>E4/6/52</f>
        <v>67.492603550295897</v>
      </c>
      <c r="F5" s="77" t="s">
        <v>66</v>
      </c>
      <c r="G5" s="86" t="s">
        <v>202</v>
      </c>
      <c r="H5" s="80">
        <f>H4/6/52</f>
        <v>2.6025641025640998E-2</v>
      </c>
      <c r="I5" s="86" t="s">
        <v>200</v>
      </c>
      <c r="J5" s="89" t="s">
        <v>201</v>
      </c>
      <c r="K5" s="85">
        <f>K4/6/52</f>
        <v>200.197238658777</v>
      </c>
      <c r="L5" s="86" t="s">
        <v>66</v>
      </c>
    </row>
    <row r="6" spans="1:12" s="72" customFormat="1" ht="18">
      <c r="A6" s="77" t="s">
        <v>203</v>
      </c>
      <c r="B6" s="81">
        <f>B5/'Scenario 1'!B5</f>
        <v>1.40384615384615E-4</v>
      </c>
      <c r="C6" s="77" t="s">
        <v>200</v>
      </c>
      <c r="D6" s="79" t="s">
        <v>201</v>
      </c>
      <c r="E6" s="85">
        <f>E5/'Scenario 1'!B10</f>
        <v>0.67492603550295804</v>
      </c>
      <c r="F6" s="77" t="s">
        <v>66</v>
      </c>
      <c r="G6" s="86" t="s">
        <v>203</v>
      </c>
      <c r="H6" s="81">
        <f>H5/'Scenario 1'!B5</f>
        <v>2.6025641025641E-4</v>
      </c>
      <c r="I6" s="86" t="s">
        <v>200</v>
      </c>
      <c r="J6" s="89" t="s">
        <v>201</v>
      </c>
      <c r="K6" s="85">
        <f>K5/'Scenario 1'!C10</f>
        <v>2.0019723865877701</v>
      </c>
      <c r="L6" s="86" t="s">
        <v>66</v>
      </c>
    </row>
    <row r="7" spans="1:12" s="72" customFormat="1" ht="18">
      <c r="A7" s="77"/>
      <c r="B7" s="82"/>
      <c r="C7" s="77"/>
      <c r="D7" s="79"/>
      <c r="E7" s="82"/>
      <c r="F7" s="77"/>
      <c r="G7" s="86"/>
      <c r="H7" s="87"/>
      <c r="I7" s="86"/>
      <c r="J7" s="89"/>
      <c r="K7" s="87"/>
      <c r="L7" s="86"/>
    </row>
    <row r="8" spans="1:12" s="72" customFormat="1" ht="18">
      <c r="A8" s="77"/>
      <c r="B8" s="82"/>
      <c r="C8" s="77"/>
      <c r="D8" s="79"/>
      <c r="E8" s="82"/>
      <c r="F8" s="77"/>
      <c r="G8" s="88" t="s">
        <v>204</v>
      </c>
      <c r="H8" s="87"/>
      <c r="I8" s="86"/>
      <c r="J8" s="89"/>
      <c r="K8" s="96">
        <f>K4-E4</f>
        <v>41403.8461538462</v>
      </c>
      <c r="L8" s="86" t="s">
        <v>66</v>
      </c>
    </row>
    <row r="9" spans="1:12" s="72" customFormat="1" ht="18">
      <c r="A9" s="77"/>
      <c r="B9" s="82"/>
      <c r="C9" s="77"/>
      <c r="D9" s="79"/>
      <c r="E9" s="82"/>
      <c r="F9" s="77"/>
      <c r="G9" s="88" t="s">
        <v>205</v>
      </c>
      <c r="H9" s="87"/>
      <c r="I9" s="86"/>
      <c r="J9" s="89"/>
      <c r="K9" s="96">
        <f>K5-E5</f>
        <v>132.704635108481</v>
      </c>
      <c r="L9" s="86" t="s">
        <v>66</v>
      </c>
    </row>
    <row r="10" spans="1:12" s="72" customFormat="1" ht="18">
      <c r="A10" s="77"/>
      <c r="B10" s="82"/>
      <c r="C10" s="77"/>
      <c r="D10" s="79"/>
      <c r="E10" s="82"/>
      <c r="F10" s="77"/>
      <c r="G10" s="88" t="s">
        <v>206</v>
      </c>
      <c r="H10" s="87"/>
      <c r="I10" s="86"/>
      <c r="J10" s="89"/>
      <c r="K10" s="96">
        <f>K6-E6</f>
        <v>1.3270463510848101</v>
      </c>
      <c r="L10" s="86" t="s">
        <v>66</v>
      </c>
    </row>
    <row r="11" spans="1:12" s="72" customFormat="1" ht="18">
      <c r="A11" s="77"/>
      <c r="B11" s="82"/>
      <c r="C11" s="77"/>
      <c r="D11" s="79"/>
      <c r="E11" s="82"/>
      <c r="F11" s="77"/>
      <c r="G11" s="89"/>
      <c r="H11" s="87"/>
      <c r="I11" s="86"/>
      <c r="J11" s="89"/>
      <c r="K11" s="89"/>
      <c r="L11" s="86"/>
    </row>
    <row r="12" spans="1:12" s="72" customFormat="1" ht="33" customHeight="1">
      <c r="A12" s="232" t="s">
        <v>207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</row>
    <row r="13" spans="1:12" s="72" customFormat="1" ht="18">
      <c r="A13" s="77" t="s">
        <v>208</v>
      </c>
      <c r="B13" s="78">
        <v>0.65</v>
      </c>
      <c r="C13" s="77" t="s">
        <v>209</v>
      </c>
      <c r="D13" s="79"/>
      <c r="E13" s="82"/>
      <c r="F13" s="77"/>
      <c r="G13" s="86" t="s">
        <v>208</v>
      </c>
      <c r="H13" s="78">
        <v>0.76</v>
      </c>
      <c r="I13" s="86" t="s">
        <v>209</v>
      </c>
      <c r="J13" s="89"/>
      <c r="K13" s="89"/>
      <c r="L13" s="86"/>
    </row>
    <row r="14" spans="1:12" s="72" customFormat="1" ht="18">
      <c r="A14" s="77" t="s">
        <v>210</v>
      </c>
      <c r="B14" s="78">
        <v>2.12</v>
      </c>
      <c r="C14" s="77" t="s">
        <v>211</v>
      </c>
      <c r="D14" s="79"/>
      <c r="E14" s="82"/>
      <c r="F14" s="77"/>
      <c r="G14" s="86" t="s">
        <v>210</v>
      </c>
      <c r="H14" s="78">
        <v>4.5599999999999996</v>
      </c>
      <c r="I14" s="86" t="s">
        <v>211</v>
      </c>
      <c r="J14" s="89"/>
      <c r="K14" s="89"/>
      <c r="L14" s="86"/>
    </row>
    <row r="15" spans="1:12" s="72" customFormat="1" ht="18">
      <c r="A15" s="77" t="s">
        <v>212</v>
      </c>
      <c r="B15" s="83">
        <f>B13*B14*12*'Scenario 1'!B5/2/8</f>
        <v>103.35</v>
      </c>
      <c r="C15" s="77" t="s">
        <v>213</v>
      </c>
      <c r="D15" s="79" t="s">
        <v>201</v>
      </c>
      <c r="E15" s="85">
        <f>B15*'Remuneration scales for staff'!H3</f>
        <v>165.625</v>
      </c>
      <c r="F15" s="77" t="s">
        <v>66</v>
      </c>
      <c r="G15" s="86" t="s">
        <v>212</v>
      </c>
      <c r="H15" s="90">
        <f>H13*H14*12*'Scenario 1'!B5/2/5</f>
        <v>415.87200000000001</v>
      </c>
      <c r="I15" s="86" t="s">
        <v>213</v>
      </c>
      <c r="J15" s="89" t="s">
        <v>201</v>
      </c>
      <c r="K15" s="85">
        <f>H15*'Remuneration scales for staff'!H3</f>
        <v>666.461538461538</v>
      </c>
      <c r="L15" s="86" t="s">
        <v>66</v>
      </c>
    </row>
    <row r="16" spans="1:12" s="72" customFormat="1" ht="18">
      <c r="A16" s="77" t="s">
        <v>214</v>
      </c>
      <c r="B16" s="80">
        <f>B15/6/52</f>
        <v>0.33124999999999999</v>
      </c>
      <c r="C16" s="77" t="s">
        <v>215</v>
      </c>
      <c r="D16" s="79" t="s">
        <v>201</v>
      </c>
      <c r="E16" s="85">
        <f>E15/6/52</f>
        <v>0.53084935897435903</v>
      </c>
      <c r="F16" s="77" t="s">
        <v>66</v>
      </c>
      <c r="G16" s="86" t="s">
        <v>214</v>
      </c>
      <c r="H16" s="90">
        <f>H15/6/52</f>
        <v>1.33292307692308</v>
      </c>
      <c r="I16" s="86" t="s">
        <v>215</v>
      </c>
      <c r="J16" s="89" t="s">
        <v>201</v>
      </c>
      <c r="K16" s="85">
        <f>K15/6/52</f>
        <v>2.1360946745562099</v>
      </c>
      <c r="L16" s="86" t="s">
        <v>66</v>
      </c>
    </row>
    <row r="17" spans="1:13" s="72" customFormat="1" ht="18">
      <c r="A17" s="77" t="s">
        <v>216</v>
      </c>
      <c r="B17" s="80">
        <f>B16/'Scenario 1'!B5</f>
        <v>3.3124999999999999E-3</v>
      </c>
      <c r="C17" s="77" t="s">
        <v>217</v>
      </c>
      <c r="D17" s="79" t="s">
        <v>201</v>
      </c>
      <c r="E17" s="85">
        <f>E16/'Scenario 1'!B10</f>
        <v>5.30849358974359E-3</v>
      </c>
      <c r="F17" s="77" t="s">
        <v>66</v>
      </c>
      <c r="G17" s="86" t="s">
        <v>216</v>
      </c>
      <c r="H17" s="90">
        <f>H16/'Scenario 1'!B5</f>
        <v>1.33292307692308E-2</v>
      </c>
      <c r="I17" s="86" t="s">
        <v>217</v>
      </c>
      <c r="J17" s="89" t="s">
        <v>201</v>
      </c>
      <c r="K17" s="85">
        <f>K16/'Scenario 1'!C10</f>
        <v>2.13609467455621E-2</v>
      </c>
      <c r="L17" s="86" t="s">
        <v>66</v>
      </c>
    </row>
    <row r="18" spans="1:13" s="72" customFormat="1" ht="18">
      <c r="A18" s="77"/>
      <c r="B18" s="82"/>
      <c r="C18" s="77"/>
      <c r="D18" s="79"/>
      <c r="E18" s="91"/>
      <c r="F18" s="77"/>
      <c r="G18" s="86"/>
      <c r="H18" s="92"/>
      <c r="I18" s="86"/>
      <c r="J18" s="89"/>
      <c r="K18" s="92"/>
      <c r="L18" s="86"/>
    </row>
    <row r="19" spans="1:13" s="72" customFormat="1" ht="18">
      <c r="A19" s="77"/>
      <c r="B19" s="82"/>
      <c r="C19" s="77"/>
      <c r="D19" s="79"/>
      <c r="E19" s="91"/>
      <c r="F19" s="77"/>
      <c r="G19" s="93" t="s">
        <v>218</v>
      </c>
      <c r="H19" s="92"/>
      <c r="I19" s="86"/>
      <c r="J19" s="89"/>
      <c r="K19" s="85">
        <f>K15-E15</f>
        <v>500.836538461538</v>
      </c>
      <c r="L19" s="86" t="s">
        <v>66</v>
      </c>
    </row>
    <row r="20" spans="1:13" s="72" customFormat="1" ht="18">
      <c r="A20" s="77"/>
      <c r="B20" s="82"/>
      <c r="C20" s="77"/>
      <c r="D20" s="79"/>
      <c r="E20" s="91"/>
      <c r="F20" s="77"/>
      <c r="G20" s="93" t="s">
        <v>219</v>
      </c>
      <c r="H20" s="92"/>
      <c r="I20" s="86"/>
      <c r="J20" s="89"/>
      <c r="K20" s="85">
        <f>K16-E16</f>
        <v>1.60524531558185</v>
      </c>
      <c r="L20" s="86" t="s">
        <v>66</v>
      </c>
    </row>
    <row r="21" spans="1:13" s="72" customFormat="1" ht="18">
      <c r="A21" s="77"/>
      <c r="B21" s="82"/>
      <c r="C21" s="77"/>
      <c r="D21" s="79"/>
      <c r="E21" s="91"/>
      <c r="F21" s="77"/>
      <c r="G21" s="93" t="s">
        <v>220</v>
      </c>
      <c r="H21" s="92"/>
      <c r="I21" s="86"/>
      <c r="J21" s="89"/>
      <c r="K21" s="85">
        <f>K17-E17</f>
        <v>1.6052453155818502E-2</v>
      </c>
      <c r="L21" s="86" t="s">
        <v>66</v>
      </c>
    </row>
    <row r="22" spans="1:13" s="72" customFormat="1" ht="18">
      <c r="A22" s="77"/>
      <c r="B22" s="82"/>
      <c r="C22" s="77"/>
      <c r="D22" s="79"/>
      <c r="E22" s="82"/>
      <c r="F22" s="77"/>
      <c r="G22" s="89"/>
      <c r="H22" s="87"/>
      <c r="I22" s="86"/>
      <c r="J22" s="89"/>
      <c r="K22" s="89"/>
      <c r="L22" s="86"/>
    </row>
    <row r="23" spans="1:13" s="72" customFormat="1" ht="33" customHeight="1">
      <c r="A23" s="232" t="s">
        <v>221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72" t="s">
        <v>108</v>
      </c>
    </row>
    <row r="24" spans="1:13" s="72" customFormat="1" ht="18">
      <c r="A24" s="77" t="s">
        <v>222</v>
      </c>
      <c r="B24" s="78">
        <v>2</v>
      </c>
      <c r="C24" s="77" t="s">
        <v>223</v>
      </c>
      <c r="D24" s="79" t="s">
        <v>201</v>
      </c>
      <c r="E24" s="94">
        <f>B24*11790/50</f>
        <v>471.6</v>
      </c>
      <c r="F24" s="77" t="s">
        <v>66</v>
      </c>
      <c r="G24" s="86" t="s">
        <v>222</v>
      </c>
      <c r="H24" s="78">
        <v>10</v>
      </c>
      <c r="I24" s="86" t="s">
        <v>223</v>
      </c>
      <c r="J24" s="89" t="s">
        <v>201</v>
      </c>
      <c r="K24" s="94">
        <f>H24*11790/50</f>
        <v>2358</v>
      </c>
      <c r="L24" s="86" t="s">
        <v>66</v>
      </c>
      <c r="M24" s="72" t="s">
        <v>224</v>
      </c>
    </row>
    <row r="25" spans="1:13" s="72" customFormat="1" ht="18">
      <c r="A25" s="77" t="s">
        <v>225</v>
      </c>
      <c r="B25" s="80">
        <f>B24/6/52</f>
        <v>6.41025641025641E-3</v>
      </c>
      <c r="C25" s="77" t="s">
        <v>223</v>
      </c>
      <c r="D25" s="79" t="s">
        <v>201</v>
      </c>
      <c r="E25" s="94">
        <f>E24/6/52</f>
        <v>1.5115384615384599</v>
      </c>
      <c r="F25" s="77" t="s">
        <v>66</v>
      </c>
      <c r="G25" s="86" t="s">
        <v>225</v>
      </c>
      <c r="H25" s="80">
        <f>H24/6/52</f>
        <v>3.2051282051282097E-2</v>
      </c>
      <c r="I25" s="86" t="s">
        <v>223</v>
      </c>
      <c r="J25" s="89" t="s">
        <v>201</v>
      </c>
      <c r="K25" s="94">
        <f>K24/6/52</f>
        <v>7.5576923076923102</v>
      </c>
      <c r="L25" s="86" t="s">
        <v>66</v>
      </c>
      <c r="M25" s="72" t="s">
        <v>226</v>
      </c>
    </row>
    <row r="26" spans="1:13" s="72" customFormat="1" ht="18">
      <c r="A26" s="77" t="s">
        <v>227</v>
      </c>
      <c r="B26" s="81">
        <f>B25/'Scenario 1'!B5</f>
        <v>6.4102564102564103E-5</v>
      </c>
      <c r="C26" s="77" t="s">
        <v>223</v>
      </c>
      <c r="D26" s="79" t="s">
        <v>201</v>
      </c>
      <c r="E26" s="94">
        <f>E25/'Scenario 1'!B10</f>
        <v>1.51153846153846E-2</v>
      </c>
      <c r="F26" s="77" t="s">
        <v>66</v>
      </c>
      <c r="G26" s="86" t="s">
        <v>227</v>
      </c>
      <c r="H26" s="81">
        <f>H25/'Scenario 1'!B5</f>
        <v>3.20512820512821E-4</v>
      </c>
      <c r="I26" s="86" t="s">
        <v>223</v>
      </c>
      <c r="J26" s="89" t="s">
        <v>201</v>
      </c>
      <c r="K26" s="94">
        <f>K25/'Scenario 1'!C10</f>
        <v>7.5576923076923097E-2</v>
      </c>
      <c r="L26" s="86" t="s">
        <v>66</v>
      </c>
    </row>
    <row r="27" spans="1:13" s="72" customFormat="1" ht="18">
      <c r="A27" s="77"/>
      <c r="B27" s="82"/>
      <c r="C27" s="82"/>
      <c r="D27" s="79"/>
      <c r="E27" s="91"/>
      <c r="F27" s="77"/>
      <c r="G27" s="86"/>
      <c r="H27" s="87"/>
      <c r="I27" s="86"/>
      <c r="J27" s="89"/>
      <c r="K27" s="89"/>
      <c r="L27" s="86"/>
    </row>
    <row r="28" spans="1:13" s="72" customFormat="1" ht="18">
      <c r="A28" s="77"/>
      <c r="B28" s="82"/>
      <c r="C28" s="77"/>
      <c r="D28" s="79"/>
      <c r="E28" s="91"/>
      <c r="F28" s="77"/>
      <c r="G28" s="93" t="s">
        <v>228</v>
      </c>
      <c r="H28" s="87"/>
      <c r="I28" s="86"/>
      <c r="J28" s="89"/>
      <c r="K28" s="94">
        <f>K24-E24</f>
        <v>1886.4</v>
      </c>
      <c r="L28" s="86" t="s">
        <v>66</v>
      </c>
    </row>
    <row r="29" spans="1:13" s="72" customFormat="1" ht="18">
      <c r="A29" s="77"/>
      <c r="B29" s="82"/>
      <c r="C29" s="77"/>
      <c r="D29" s="79"/>
      <c r="E29" s="91"/>
      <c r="F29" s="77"/>
      <c r="G29" s="93" t="s">
        <v>229</v>
      </c>
      <c r="H29" s="87"/>
      <c r="I29" s="86"/>
      <c r="J29" s="89"/>
      <c r="K29" s="94">
        <f>K25-E25</f>
        <v>6.0461538461538504</v>
      </c>
      <c r="L29" s="86" t="s">
        <v>66</v>
      </c>
    </row>
    <row r="30" spans="1:13" s="72" customFormat="1" ht="18">
      <c r="A30" s="77"/>
      <c r="B30" s="82"/>
      <c r="C30" s="77"/>
      <c r="D30" s="79"/>
      <c r="E30" s="91"/>
      <c r="F30" s="77"/>
      <c r="G30" s="93" t="s">
        <v>230</v>
      </c>
      <c r="H30" s="87"/>
      <c r="I30" s="86"/>
      <c r="J30" s="89"/>
      <c r="K30" s="94">
        <f>K26-E26</f>
        <v>6.0461538461538497E-2</v>
      </c>
      <c r="L30" s="86" t="s">
        <v>66</v>
      </c>
    </row>
    <row r="31" spans="1:13" s="72" customFormat="1" ht="18">
      <c r="A31" s="77"/>
      <c r="B31" s="82"/>
      <c r="C31" s="77"/>
      <c r="D31" s="79"/>
      <c r="E31" s="91"/>
      <c r="F31" s="77"/>
      <c r="G31" s="86"/>
      <c r="H31" s="87"/>
      <c r="I31" s="86"/>
      <c r="J31" s="89"/>
      <c r="K31" s="97"/>
      <c r="L31" s="86"/>
    </row>
    <row r="32" spans="1:13" s="72" customFormat="1" ht="33" customHeight="1">
      <c r="A32" s="232" t="s">
        <v>231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</row>
    <row r="33" spans="1:12" s="72" customFormat="1" ht="18">
      <c r="A33" s="77" t="s">
        <v>232</v>
      </c>
      <c r="B33" s="79"/>
      <c r="C33" s="77"/>
      <c r="D33" s="79" t="s">
        <v>201</v>
      </c>
      <c r="E33" s="94">
        <f>E4+E15+E24</f>
        <v>21694.9173076923</v>
      </c>
      <c r="F33" s="77" t="s">
        <v>66</v>
      </c>
      <c r="G33" s="86" t="s">
        <v>232</v>
      </c>
      <c r="H33" s="86"/>
      <c r="I33" s="86"/>
      <c r="J33" s="89" t="s">
        <v>201</v>
      </c>
      <c r="K33" s="94">
        <f>K4+K15+K24</f>
        <v>65486</v>
      </c>
      <c r="L33" s="86" t="s">
        <v>66</v>
      </c>
    </row>
    <row r="34" spans="1:12" s="72" customFormat="1" ht="18">
      <c r="A34" s="77" t="s">
        <v>233</v>
      </c>
      <c r="B34" s="79"/>
      <c r="C34" s="77"/>
      <c r="D34" s="79" t="s">
        <v>201</v>
      </c>
      <c r="E34" s="94">
        <f>E5+E16+E25</f>
        <v>69.534991370808697</v>
      </c>
      <c r="F34" s="77" t="s">
        <v>66</v>
      </c>
      <c r="G34" s="86" t="s">
        <v>233</v>
      </c>
      <c r="H34" s="86"/>
      <c r="I34" s="86"/>
      <c r="J34" s="89" t="s">
        <v>201</v>
      </c>
      <c r="K34" s="94">
        <f>K5+K16+K25</f>
        <v>209.891025641026</v>
      </c>
      <c r="L34" s="86" t="s">
        <v>66</v>
      </c>
    </row>
    <row r="35" spans="1:12" s="72" customFormat="1" ht="18">
      <c r="A35" s="77" t="s">
        <v>234</v>
      </c>
      <c r="B35" s="79"/>
      <c r="C35" s="77"/>
      <c r="D35" s="79" t="s">
        <v>201</v>
      </c>
      <c r="E35" s="94">
        <f>E6+E17+E26</f>
        <v>0.69534991370808696</v>
      </c>
      <c r="F35" s="77" t="s">
        <v>66</v>
      </c>
      <c r="G35" s="86" t="s">
        <v>234</v>
      </c>
      <c r="H35" s="86"/>
      <c r="I35" s="86"/>
      <c r="J35" s="89" t="s">
        <v>201</v>
      </c>
      <c r="K35" s="94">
        <f>K6+K17+K26</f>
        <v>2.0989102564102602</v>
      </c>
      <c r="L35" s="86" t="s">
        <v>66</v>
      </c>
    </row>
    <row r="36" spans="1:12" s="72" customFormat="1" ht="18">
      <c r="A36" s="77"/>
      <c r="B36" s="79"/>
      <c r="C36" s="77"/>
      <c r="D36" s="79"/>
      <c r="E36" s="91"/>
      <c r="F36" s="77"/>
      <c r="G36" s="86"/>
      <c r="H36" s="86"/>
      <c r="I36" s="86"/>
      <c r="J36" s="89"/>
      <c r="K36" s="86"/>
      <c r="L36" s="86"/>
    </row>
    <row r="37" spans="1:12" s="73" customFormat="1" ht="18">
      <c r="A37" s="84"/>
      <c r="B37" s="76"/>
      <c r="C37" s="84"/>
      <c r="D37" s="76"/>
      <c r="E37" s="95"/>
      <c r="F37" s="84"/>
      <c r="G37" s="93" t="s">
        <v>235</v>
      </c>
      <c r="H37" s="93"/>
      <c r="I37" s="93"/>
      <c r="J37" s="89" t="s">
        <v>201</v>
      </c>
      <c r="K37" s="98">
        <f>K33-E33</f>
        <v>43791.082692307697</v>
      </c>
      <c r="L37" s="93" t="s">
        <v>66</v>
      </c>
    </row>
    <row r="38" spans="1:12" s="73" customFormat="1" ht="18">
      <c r="A38" s="84"/>
      <c r="B38" s="76"/>
      <c r="C38" s="84"/>
      <c r="D38" s="76"/>
      <c r="E38" s="95"/>
      <c r="F38" s="84"/>
      <c r="G38" s="93" t="s">
        <v>236</v>
      </c>
      <c r="H38" s="93"/>
      <c r="I38" s="93"/>
      <c r="J38" s="89" t="s">
        <v>201</v>
      </c>
      <c r="K38" s="98">
        <f>K34-E34</f>
        <v>140.35603427021701</v>
      </c>
      <c r="L38" s="93" t="s">
        <v>66</v>
      </c>
    </row>
    <row r="39" spans="1:12" s="73" customFormat="1" ht="18">
      <c r="A39" s="84"/>
      <c r="B39" s="76"/>
      <c r="C39" s="84"/>
      <c r="D39" s="76"/>
      <c r="E39" s="95"/>
      <c r="F39" s="84"/>
      <c r="G39" s="93" t="s">
        <v>237</v>
      </c>
      <c r="H39" s="93"/>
      <c r="I39" s="93"/>
      <c r="J39" s="89" t="s">
        <v>201</v>
      </c>
      <c r="K39" s="98">
        <f>K35-E35</f>
        <v>1.4035603427021699</v>
      </c>
      <c r="L39" s="93" t="s">
        <v>66</v>
      </c>
    </row>
  </sheetData>
  <mergeCells count="7">
    <mergeCell ref="A23:L23"/>
    <mergeCell ref="A32:L32"/>
    <mergeCell ref="A1:L1"/>
    <mergeCell ref="A2:L2"/>
    <mergeCell ref="A3:F3"/>
    <mergeCell ref="G3:L3"/>
    <mergeCell ref="A12:L12"/>
  </mergeCells>
  <phoneticPr fontId="50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J13"/>
  <sheetViews>
    <sheetView workbookViewId="0">
      <selection activeCell="E7" sqref="E7"/>
    </sheetView>
  </sheetViews>
  <sheetFormatPr baseColWidth="10" defaultColWidth="11" defaultRowHeight="16"/>
  <cols>
    <col min="1" max="1" width="41.83203125" style="53" customWidth="1"/>
    <col min="2" max="2" width="18.83203125" style="53" customWidth="1"/>
    <col min="3" max="3" width="17.83203125" style="53" customWidth="1"/>
    <col min="4" max="5" width="18.1640625" style="53" customWidth="1"/>
    <col min="6" max="6" width="21.6640625" style="53" customWidth="1"/>
    <col min="7" max="7" width="18.5" style="53" customWidth="1"/>
    <col min="8" max="8" width="17.83203125" style="53" customWidth="1"/>
    <col min="9" max="9" width="20.6640625" style="53" customWidth="1"/>
    <col min="10" max="10" width="31" style="53" customWidth="1"/>
    <col min="11" max="16384" width="11" style="53"/>
  </cols>
  <sheetData>
    <row r="1" spans="1:10" ht="23">
      <c r="A1" s="238" t="s">
        <v>238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0" s="52" customFormat="1" ht="88">
      <c r="A2" s="54"/>
      <c r="B2" s="54" t="s">
        <v>239</v>
      </c>
      <c r="C2" s="54" t="s">
        <v>240</v>
      </c>
      <c r="D2" s="54" t="s">
        <v>241</v>
      </c>
      <c r="E2" s="54" t="s">
        <v>242</v>
      </c>
      <c r="F2" s="54" t="s">
        <v>243</v>
      </c>
      <c r="G2" s="54" t="s">
        <v>244</v>
      </c>
      <c r="H2" s="54" t="s">
        <v>245</v>
      </c>
      <c r="I2" s="54" t="s">
        <v>246</v>
      </c>
      <c r="J2" s="54" t="s">
        <v>247</v>
      </c>
    </row>
    <row r="3" spans="1:10" ht="19">
      <c r="A3" s="55" t="s">
        <v>248</v>
      </c>
      <c r="B3" s="55">
        <v>280000</v>
      </c>
      <c r="C3" s="55">
        <v>52</v>
      </c>
      <c r="D3" s="55">
        <v>6</v>
      </c>
      <c r="E3" s="55">
        <v>8</v>
      </c>
      <c r="F3" s="55">
        <f>C3*D3*E3*60</f>
        <v>149760</v>
      </c>
      <c r="G3" s="59">
        <f>B3/F3</f>
        <v>1.8696581196581199</v>
      </c>
      <c r="H3" s="60">
        <f>AVERAGE(G3:G7)</f>
        <v>1.6025641025641</v>
      </c>
      <c r="I3" s="60">
        <f>AVERAGE(B3:B7)</f>
        <v>240000</v>
      </c>
      <c r="J3" s="55" t="s">
        <v>249</v>
      </c>
    </row>
    <row r="4" spans="1:10" ht="19">
      <c r="A4" s="55" t="s">
        <v>250</v>
      </c>
      <c r="B4" s="55">
        <v>260000</v>
      </c>
      <c r="C4" s="55">
        <v>52</v>
      </c>
      <c r="D4" s="55">
        <v>6</v>
      </c>
      <c r="E4" s="55">
        <v>8</v>
      </c>
      <c r="F4" s="55">
        <f t="shared" ref="F4:F8" si="0">C4*D4*E4*60</f>
        <v>149760</v>
      </c>
      <c r="G4" s="59">
        <f t="shared" ref="G4:G13" si="1">B4/F4</f>
        <v>1.7361111111111101</v>
      </c>
      <c r="H4" s="61"/>
      <c r="I4" s="70"/>
      <c r="J4" s="55" t="s">
        <v>249</v>
      </c>
    </row>
    <row r="5" spans="1:10" ht="19">
      <c r="A5" s="55" t="s">
        <v>251</v>
      </c>
      <c r="B5" s="55">
        <v>240000</v>
      </c>
      <c r="C5" s="55">
        <v>52</v>
      </c>
      <c r="D5" s="55">
        <v>6</v>
      </c>
      <c r="E5" s="55">
        <v>8</v>
      </c>
      <c r="F5" s="55">
        <f t="shared" si="0"/>
        <v>149760</v>
      </c>
      <c r="G5" s="59">
        <f t="shared" si="1"/>
        <v>1.6025641025641</v>
      </c>
      <c r="H5" s="61"/>
      <c r="I5" s="70"/>
      <c r="J5" s="55" t="s">
        <v>249</v>
      </c>
    </row>
    <row r="6" spans="1:10" ht="19">
      <c r="A6" s="55" t="s">
        <v>252</v>
      </c>
      <c r="B6" s="55">
        <v>220000</v>
      </c>
      <c r="C6" s="55">
        <v>52</v>
      </c>
      <c r="D6" s="55">
        <v>6</v>
      </c>
      <c r="E6" s="55">
        <v>8</v>
      </c>
      <c r="F6" s="55">
        <f t="shared" si="0"/>
        <v>149760</v>
      </c>
      <c r="G6" s="59">
        <f t="shared" si="1"/>
        <v>1.4690170940170899</v>
      </c>
      <c r="H6" s="61"/>
      <c r="I6" s="70"/>
      <c r="J6" s="55" t="s">
        <v>249</v>
      </c>
    </row>
    <row r="7" spans="1:10" ht="19">
      <c r="A7" s="55" t="s">
        <v>253</v>
      </c>
      <c r="B7" s="55">
        <v>200000</v>
      </c>
      <c r="C7" s="55">
        <v>52</v>
      </c>
      <c r="D7" s="55">
        <v>6</v>
      </c>
      <c r="E7" s="55">
        <v>8</v>
      </c>
      <c r="F7" s="55">
        <f t="shared" si="0"/>
        <v>149760</v>
      </c>
      <c r="G7" s="59">
        <f t="shared" si="1"/>
        <v>1.3354700854700901</v>
      </c>
      <c r="H7" s="62"/>
      <c r="I7" s="70"/>
      <c r="J7" s="55" t="s">
        <v>249</v>
      </c>
    </row>
    <row r="8" spans="1:10" ht="19">
      <c r="A8" s="56" t="s">
        <v>254</v>
      </c>
      <c r="B8" s="56">
        <v>260000</v>
      </c>
      <c r="C8" s="56">
        <v>52</v>
      </c>
      <c r="D8" s="56">
        <v>6</v>
      </c>
      <c r="E8" s="56">
        <v>8</v>
      </c>
      <c r="F8" s="56">
        <f t="shared" si="0"/>
        <v>149760</v>
      </c>
      <c r="G8" s="63">
        <f t="shared" si="1"/>
        <v>1.7361111111111101</v>
      </c>
      <c r="H8" s="64">
        <f>AVERAGE(G8:G12)</f>
        <v>1.4690170940170899</v>
      </c>
      <c r="I8" s="64">
        <f>AVERAGE(B8:B12)</f>
        <v>220000</v>
      </c>
      <c r="J8" s="56" t="s">
        <v>249</v>
      </c>
    </row>
    <row r="9" spans="1:10" ht="38">
      <c r="A9" s="56" t="s">
        <v>255</v>
      </c>
      <c r="B9" s="56">
        <v>240000</v>
      </c>
      <c r="C9" s="56">
        <v>52</v>
      </c>
      <c r="D9" s="56">
        <v>6</v>
      </c>
      <c r="E9" s="56">
        <v>8</v>
      </c>
      <c r="F9" s="56">
        <f t="shared" ref="F9:F13" si="2">C9*D9*E9*60</f>
        <v>149760</v>
      </c>
      <c r="G9" s="63">
        <f t="shared" si="1"/>
        <v>1.6025641025641</v>
      </c>
      <c r="H9" s="65"/>
      <c r="I9" s="71"/>
      <c r="J9" s="56" t="s">
        <v>249</v>
      </c>
    </row>
    <row r="10" spans="1:10" ht="19">
      <c r="A10" s="56" t="s">
        <v>256</v>
      </c>
      <c r="B10" s="56">
        <v>220000</v>
      </c>
      <c r="C10" s="56">
        <v>52</v>
      </c>
      <c r="D10" s="56">
        <v>6</v>
      </c>
      <c r="E10" s="56">
        <v>8</v>
      </c>
      <c r="F10" s="56">
        <f t="shared" si="2"/>
        <v>149760</v>
      </c>
      <c r="G10" s="63">
        <f t="shared" si="1"/>
        <v>1.4690170940170899</v>
      </c>
      <c r="H10" s="65"/>
      <c r="I10" s="71"/>
      <c r="J10" s="56" t="s">
        <v>249</v>
      </c>
    </row>
    <row r="11" spans="1:10" ht="38">
      <c r="A11" s="56" t="s">
        <v>257</v>
      </c>
      <c r="B11" s="56">
        <v>200000</v>
      </c>
      <c r="C11" s="56">
        <v>52</v>
      </c>
      <c r="D11" s="56">
        <v>6</v>
      </c>
      <c r="E11" s="56">
        <v>8</v>
      </c>
      <c r="F11" s="56">
        <f t="shared" si="2"/>
        <v>149760</v>
      </c>
      <c r="G11" s="63">
        <f t="shared" si="1"/>
        <v>1.3354700854700901</v>
      </c>
      <c r="H11" s="65"/>
      <c r="I11" s="71"/>
      <c r="J11" s="56" t="s">
        <v>249</v>
      </c>
    </row>
    <row r="12" spans="1:10" ht="19">
      <c r="A12" s="56" t="s">
        <v>258</v>
      </c>
      <c r="B12" s="56">
        <v>180000</v>
      </c>
      <c r="C12" s="56">
        <v>52</v>
      </c>
      <c r="D12" s="56">
        <v>6</v>
      </c>
      <c r="E12" s="56">
        <v>8</v>
      </c>
      <c r="F12" s="56">
        <f t="shared" si="2"/>
        <v>149760</v>
      </c>
      <c r="G12" s="63">
        <f t="shared" si="1"/>
        <v>1.20192307692308</v>
      </c>
      <c r="H12" s="66"/>
      <c r="I12" s="71"/>
      <c r="J12" s="56" t="s">
        <v>249</v>
      </c>
    </row>
    <row r="13" spans="1:10" ht="57">
      <c r="A13" s="57" t="s">
        <v>259</v>
      </c>
      <c r="B13" s="58">
        <f>106837/2</f>
        <v>53418.5</v>
      </c>
      <c r="C13" s="57">
        <v>52</v>
      </c>
      <c r="D13" s="57">
        <v>6</v>
      </c>
      <c r="E13" s="57">
        <v>8</v>
      </c>
      <c r="F13" s="67">
        <f t="shared" si="2"/>
        <v>149760</v>
      </c>
      <c r="G13" s="68">
        <f t="shared" si="1"/>
        <v>0.35669404380341901</v>
      </c>
      <c r="H13" s="69">
        <f>G13</f>
        <v>0.35669404380341901</v>
      </c>
      <c r="I13" s="68">
        <f>AVERAGE(B13)</f>
        <v>53418.5</v>
      </c>
      <c r="J13" s="67" t="s">
        <v>260</v>
      </c>
    </row>
  </sheetData>
  <mergeCells count="1">
    <mergeCell ref="A1:J1"/>
  </mergeCells>
  <phoneticPr fontId="50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AD47"/>
  <sheetViews>
    <sheetView workbookViewId="0">
      <selection activeCell="B19" sqref="B19"/>
    </sheetView>
  </sheetViews>
  <sheetFormatPr baseColWidth="10" defaultColWidth="11" defaultRowHeight="20"/>
  <cols>
    <col min="1" max="1" width="37.83203125" style="1" customWidth="1"/>
    <col min="2" max="3" width="20.5" style="14" customWidth="1"/>
    <col min="4" max="4" width="16" style="1" customWidth="1"/>
    <col min="5" max="5" width="29.1640625" style="15" customWidth="1"/>
    <col min="6" max="6" width="20" style="15" customWidth="1"/>
    <col min="7" max="7" width="14.1640625" style="15" customWidth="1"/>
    <col min="8" max="8" width="17.83203125" style="15" customWidth="1"/>
    <col min="9" max="9" width="15" style="16" customWidth="1"/>
    <col min="10" max="10" width="10.83203125" style="16"/>
    <col min="11" max="11" width="11" style="16"/>
    <col min="12" max="12" width="15" style="17" customWidth="1"/>
    <col min="13" max="13" width="18.33203125" style="17" customWidth="1"/>
    <col min="14" max="14" width="22" style="17" customWidth="1"/>
    <col min="15" max="15" width="10.83203125" style="17"/>
    <col min="16" max="16" width="9" style="17" customWidth="1"/>
    <col min="17" max="17" width="10.83203125" style="16"/>
    <col min="18" max="18" width="10.83203125" style="17"/>
    <col min="19" max="19" width="11" style="1"/>
    <col min="20" max="20" width="20.1640625" style="1" customWidth="1"/>
    <col min="21" max="21" width="28.1640625" style="1" customWidth="1"/>
    <col min="22" max="22" width="33.1640625" style="1" customWidth="1"/>
    <col min="23" max="23" width="16.1640625" style="1" customWidth="1"/>
    <col min="24" max="24" width="17.1640625" style="1" customWidth="1"/>
    <col min="25" max="25" width="11.83203125" style="16" customWidth="1"/>
    <col min="26" max="26" width="11" style="17"/>
    <col min="27" max="27" width="11" style="1"/>
    <col min="28" max="28" width="45.83203125" style="1" customWidth="1"/>
    <col min="29" max="29" width="23" style="1" customWidth="1"/>
    <col min="30" max="30" width="19.1640625" style="1" customWidth="1"/>
    <col min="31" max="16384" width="11" style="1"/>
  </cols>
  <sheetData>
    <row r="1" spans="1:30" ht="23">
      <c r="B1" s="18"/>
      <c r="C1" s="18"/>
      <c r="D1" s="239" t="s">
        <v>261</v>
      </c>
      <c r="E1" s="239"/>
      <c r="F1" s="239"/>
      <c r="G1" s="239"/>
      <c r="H1" s="239"/>
      <c r="I1" s="239"/>
      <c r="J1" s="239"/>
      <c r="K1" s="19"/>
      <c r="L1" s="239" t="s">
        <v>262</v>
      </c>
      <c r="M1" s="239"/>
      <c r="N1" s="239"/>
      <c r="O1" s="239"/>
      <c r="P1" s="239"/>
      <c r="Q1" s="38"/>
      <c r="R1" s="19"/>
      <c r="T1" s="239" t="s">
        <v>263</v>
      </c>
      <c r="U1" s="239"/>
      <c r="V1" s="239"/>
      <c r="W1" s="239"/>
      <c r="X1" s="239"/>
      <c r="Y1" s="239"/>
      <c r="Z1" s="239"/>
      <c r="AB1" s="240" t="s">
        <v>264</v>
      </c>
      <c r="AC1" s="240"/>
      <c r="AD1" s="240"/>
    </row>
    <row r="2" spans="1:30" ht="24">
      <c r="A2" s="20" t="s">
        <v>265</v>
      </c>
      <c r="B2" s="21" t="s">
        <v>266</v>
      </c>
      <c r="C2" s="22"/>
      <c r="D2" s="20" t="s">
        <v>265</v>
      </c>
      <c r="E2" s="20" t="s">
        <v>267</v>
      </c>
      <c r="F2" s="27" t="s">
        <v>268</v>
      </c>
      <c r="G2" s="20" t="s">
        <v>96</v>
      </c>
      <c r="H2" s="28" t="s">
        <v>269</v>
      </c>
      <c r="I2" s="21" t="s">
        <v>266</v>
      </c>
      <c r="J2" s="32"/>
      <c r="K2" s="1"/>
      <c r="L2" s="20" t="s">
        <v>265</v>
      </c>
      <c r="M2" s="20" t="s">
        <v>267</v>
      </c>
      <c r="N2" s="27" t="s">
        <v>268</v>
      </c>
      <c r="O2" s="20" t="s">
        <v>96</v>
      </c>
      <c r="P2" s="28" t="s">
        <v>269</v>
      </c>
      <c r="Q2" s="21" t="s">
        <v>266</v>
      </c>
      <c r="R2" s="34"/>
      <c r="T2" s="20" t="s">
        <v>265</v>
      </c>
      <c r="U2" s="20" t="s">
        <v>267</v>
      </c>
      <c r="V2" s="27" t="s">
        <v>268</v>
      </c>
      <c r="W2" s="20" t="s">
        <v>96</v>
      </c>
      <c r="X2" s="28" t="s">
        <v>269</v>
      </c>
      <c r="Y2" s="21" t="s">
        <v>266</v>
      </c>
      <c r="Z2" s="34"/>
      <c r="AB2" s="20" t="s">
        <v>267</v>
      </c>
      <c r="AC2" s="28" t="s">
        <v>269</v>
      </c>
      <c r="AD2" s="51" t="s">
        <v>270</v>
      </c>
    </row>
    <row r="3" spans="1:30">
      <c r="A3" s="23" t="s">
        <v>271</v>
      </c>
      <c r="B3" s="24">
        <f>AVERAGE(I3,I6,Q3,Q6,Y3,Y6)</f>
        <v>39</v>
      </c>
      <c r="D3" s="25" t="s">
        <v>272</v>
      </c>
      <c r="E3" s="29" t="s">
        <v>273</v>
      </c>
      <c r="F3" s="30" t="s">
        <v>274</v>
      </c>
      <c r="G3" s="30" t="s">
        <v>275</v>
      </c>
      <c r="H3" s="31">
        <v>33</v>
      </c>
      <c r="I3" s="32">
        <f>AVERAGE(H3:H4)</f>
        <v>50.5</v>
      </c>
      <c r="J3" s="32"/>
      <c r="K3" s="1"/>
      <c r="L3" s="25" t="s">
        <v>272</v>
      </c>
      <c r="M3" s="35" t="s">
        <v>276</v>
      </c>
      <c r="N3" s="35" t="s">
        <v>277</v>
      </c>
      <c r="O3" s="35" t="s">
        <v>278</v>
      </c>
      <c r="P3" s="36">
        <v>25</v>
      </c>
      <c r="Q3" s="32">
        <f>AVERAGE(P3:P4)</f>
        <v>22.5</v>
      </c>
      <c r="R3" s="34"/>
      <c r="T3" s="25" t="s">
        <v>272</v>
      </c>
      <c r="U3" s="42" t="s">
        <v>279</v>
      </c>
      <c r="V3" s="43" t="s">
        <v>280</v>
      </c>
      <c r="W3" s="44" t="s">
        <v>281</v>
      </c>
      <c r="X3" s="45">
        <v>73</v>
      </c>
      <c r="Y3" s="32">
        <f>X3</f>
        <v>73</v>
      </c>
      <c r="Z3" s="34"/>
      <c r="AB3" s="51" t="s">
        <v>282</v>
      </c>
      <c r="AC3" s="51">
        <v>48.99</v>
      </c>
      <c r="AD3" s="51">
        <v>2023</v>
      </c>
    </row>
    <row r="4" spans="1:30">
      <c r="A4" s="25" t="s">
        <v>283</v>
      </c>
      <c r="B4" s="24">
        <f>AVERAGE(I3,Q3,Y3)</f>
        <v>48.6666666666667</v>
      </c>
      <c r="D4" s="23"/>
      <c r="E4" s="29" t="s">
        <v>279</v>
      </c>
      <c r="F4" s="30" t="s">
        <v>280</v>
      </c>
      <c r="G4" s="30" t="s">
        <v>281</v>
      </c>
      <c r="H4" s="31">
        <v>68</v>
      </c>
      <c r="I4" s="32"/>
      <c r="K4" s="1"/>
      <c r="L4" s="23"/>
      <c r="M4" s="35" t="s">
        <v>284</v>
      </c>
      <c r="N4" s="35" t="s">
        <v>285</v>
      </c>
      <c r="O4" s="35" t="s">
        <v>286</v>
      </c>
      <c r="P4" s="36">
        <v>20</v>
      </c>
      <c r="Q4" s="32"/>
      <c r="R4" s="34"/>
      <c r="T4" s="23"/>
      <c r="U4" s="39"/>
      <c r="V4" s="39"/>
      <c r="W4" s="39"/>
      <c r="X4" s="39"/>
      <c r="Y4" s="39"/>
      <c r="Z4" s="34"/>
    </row>
    <row r="5" spans="1:30">
      <c r="A5" s="25" t="s">
        <v>287</v>
      </c>
      <c r="B5" s="24">
        <f>AVERAGE(H3,Q3)</f>
        <v>27.75</v>
      </c>
      <c r="D5" s="23"/>
      <c r="E5" s="29"/>
      <c r="F5" s="30"/>
      <c r="G5" s="30"/>
      <c r="H5" s="31"/>
      <c r="I5" s="32"/>
      <c r="K5" s="1"/>
      <c r="L5" s="23"/>
      <c r="M5" s="35"/>
      <c r="N5" s="35"/>
      <c r="O5" s="35"/>
      <c r="P5" s="36"/>
      <c r="Q5" s="32"/>
      <c r="R5" s="34"/>
      <c r="T5" s="23"/>
      <c r="U5" s="46"/>
      <c r="V5" s="47"/>
      <c r="W5" s="48"/>
      <c r="X5" s="49"/>
      <c r="Y5" s="49"/>
      <c r="Z5" s="34"/>
    </row>
    <row r="6" spans="1:30">
      <c r="A6" s="25" t="s">
        <v>288</v>
      </c>
      <c r="B6" s="24">
        <f>AVERAGE(I6,Q6,Y6)</f>
        <v>29.3333333333333</v>
      </c>
      <c r="D6" s="25" t="s">
        <v>288</v>
      </c>
      <c r="E6" s="29" t="s">
        <v>273</v>
      </c>
      <c r="F6" s="30" t="s">
        <v>289</v>
      </c>
      <c r="G6" s="30" t="s">
        <v>101</v>
      </c>
      <c r="H6" s="31">
        <v>30</v>
      </c>
      <c r="I6" s="32">
        <f>H6</f>
        <v>30</v>
      </c>
      <c r="J6" s="32"/>
      <c r="K6" s="1"/>
      <c r="L6" s="25" t="s">
        <v>288</v>
      </c>
      <c r="M6" s="35" t="s">
        <v>276</v>
      </c>
      <c r="N6" s="35" t="s">
        <v>289</v>
      </c>
      <c r="O6" s="35" t="s">
        <v>101</v>
      </c>
      <c r="P6" s="36">
        <v>26</v>
      </c>
      <c r="Q6" s="32">
        <f>P6</f>
        <v>26</v>
      </c>
      <c r="R6" s="34"/>
      <c r="T6" s="25" t="s">
        <v>288</v>
      </c>
      <c r="U6" s="42" t="s">
        <v>273</v>
      </c>
      <c r="V6" s="43" t="s">
        <v>289</v>
      </c>
      <c r="W6" s="44" t="s">
        <v>101</v>
      </c>
      <c r="X6" s="45">
        <v>32</v>
      </c>
      <c r="Y6" s="32">
        <f>X6</f>
        <v>32</v>
      </c>
      <c r="Z6" s="34"/>
    </row>
    <row r="7" spans="1:30">
      <c r="A7" s="23" t="s">
        <v>290</v>
      </c>
      <c r="B7" s="24">
        <f>AVERAGE(I7,Q7,Y7)</f>
        <v>10.38</v>
      </c>
      <c r="D7" s="23" t="s">
        <v>290</v>
      </c>
      <c r="E7" s="30" t="s">
        <v>291</v>
      </c>
      <c r="F7" s="30" t="s">
        <v>292</v>
      </c>
      <c r="G7" s="30"/>
      <c r="H7" s="31">
        <v>10.38</v>
      </c>
      <c r="I7" s="32">
        <f>H7</f>
        <v>10.38</v>
      </c>
      <c r="J7" s="32"/>
      <c r="K7" s="1"/>
      <c r="L7" s="23" t="s">
        <v>290</v>
      </c>
      <c r="M7" s="35" t="s">
        <v>293</v>
      </c>
      <c r="N7" s="35" t="s">
        <v>294</v>
      </c>
      <c r="O7" s="35"/>
      <c r="P7" s="36"/>
      <c r="Q7" s="32"/>
      <c r="R7" s="34"/>
      <c r="T7" s="23" t="s">
        <v>290</v>
      </c>
      <c r="U7" s="43" t="s">
        <v>291</v>
      </c>
      <c r="V7" s="44" t="s">
        <v>292</v>
      </c>
      <c r="W7" s="44"/>
      <c r="X7" s="45" t="s">
        <v>295</v>
      </c>
      <c r="Y7" s="32"/>
      <c r="Z7" s="34"/>
      <c r="AB7" s="23" t="s">
        <v>290</v>
      </c>
      <c r="AC7" s="51">
        <v>7</v>
      </c>
      <c r="AD7" s="51">
        <v>2022</v>
      </c>
    </row>
    <row r="8" spans="1:30">
      <c r="A8" s="23" t="s">
        <v>296</v>
      </c>
      <c r="B8" s="24">
        <f>AVERAGE(I8,Q8,Y8)</f>
        <v>35.2222222222222</v>
      </c>
      <c r="D8" s="23" t="s">
        <v>296</v>
      </c>
      <c r="E8" s="29" t="s">
        <v>297</v>
      </c>
      <c r="F8" s="30" t="s">
        <v>298</v>
      </c>
      <c r="G8" s="30" t="s">
        <v>299</v>
      </c>
      <c r="H8" s="31">
        <v>38</v>
      </c>
      <c r="I8" s="32">
        <f>AVERAGE(H8:H10)</f>
        <v>38.6666666666667</v>
      </c>
      <c r="J8" s="32"/>
      <c r="K8" s="1"/>
      <c r="L8" s="23" t="s">
        <v>296</v>
      </c>
      <c r="M8" s="35" t="s">
        <v>300</v>
      </c>
      <c r="N8" s="35" t="s">
        <v>301</v>
      </c>
      <c r="O8" s="35" t="s">
        <v>302</v>
      </c>
      <c r="P8" s="36">
        <v>40</v>
      </c>
      <c r="Q8" s="32">
        <f>P8</f>
        <v>40</v>
      </c>
      <c r="R8" s="34"/>
      <c r="T8" s="23" t="s">
        <v>296</v>
      </c>
      <c r="U8" s="42" t="s">
        <v>297</v>
      </c>
      <c r="V8" s="43" t="s">
        <v>298</v>
      </c>
      <c r="W8" s="44" t="s">
        <v>299</v>
      </c>
      <c r="X8" s="45">
        <v>36</v>
      </c>
      <c r="Y8" s="32">
        <f>AVERAGE(X8:X9)</f>
        <v>27</v>
      </c>
      <c r="Z8" s="34"/>
      <c r="AB8" s="23" t="s">
        <v>303</v>
      </c>
      <c r="AC8" s="51">
        <v>73.23</v>
      </c>
      <c r="AD8" s="51">
        <v>2022</v>
      </c>
    </row>
    <row r="9" spans="1:30">
      <c r="A9" s="23"/>
      <c r="B9" s="24"/>
      <c r="D9" s="23"/>
      <c r="E9" s="29" t="s">
        <v>304</v>
      </c>
      <c r="F9" s="30" t="s">
        <v>305</v>
      </c>
      <c r="G9" s="30" t="s">
        <v>281</v>
      </c>
      <c r="H9" s="31">
        <v>43</v>
      </c>
      <c r="I9" s="32"/>
      <c r="J9" s="32"/>
      <c r="K9" s="1"/>
      <c r="L9" s="24"/>
      <c r="M9" s="24"/>
      <c r="N9" s="24"/>
      <c r="O9" s="24"/>
      <c r="P9" s="24"/>
      <c r="Q9" s="24"/>
      <c r="R9" s="24"/>
      <c r="T9" s="24"/>
      <c r="U9" s="42" t="s">
        <v>306</v>
      </c>
      <c r="V9" s="43" t="s">
        <v>305</v>
      </c>
      <c r="W9" s="44" t="s">
        <v>299</v>
      </c>
      <c r="X9" s="45">
        <v>18</v>
      </c>
      <c r="Y9" s="45"/>
      <c r="Z9" s="34"/>
      <c r="AB9" s="23" t="s">
        <v>307</v>
      </c>
      <c r="AC9" s="51">
        <v>42.4</v>
      </c>
      <c r="AD9" s="51">
        <v>2022</v>
      </c>
    </row>
    <row r="10" spans="1:30">
      <c r="A10" s="23"/>
      <c r="B10" s="24"/>
      <c r="D10" s="23"/>
      <c r="E10" s="29" t="s">
        <v>306</v>
      </c>
      <c r="F10" s="30" t="s">
        <v>305</v>
      </c>
      <c r="G10" s="30" t="s">
        <v>299</v>
      </c>
      <c r="H10" s="31">
        <v>35</v>
      </c>
      <c r="I10" s="32"/>
      <c r="J10" s="32"/>
      <c r="K10" s="1"/>
      <c r="L10" s="24"/>
      <c r="M10" s="24"/>
      <c r="N10" s="24"/>
      <c r="O10" s="24"/>
      <c r="P10" s="24"/>
      <c r="Q10" s="24"/>
      <c r="R10" s="24"/>
      <c r="T10" s="24"/>
      <c r="U10" s="39"/>
      <c r="V10" s="39"/>
      <c r="W10" s="39"/>
      <c r="X10" s="39"/>
      <c r="Y10" s="39"/>
      <c r="Z10" s="39"/>
    </row>
    <row r="11" spans="1:30">
      <c r="A11" s="23" t="s">
        <v>308</v>
      </c>
      <c r="B11" s="24">
        <f>AVERAGE(I11,Q11,Y11)</f>
        <v>42.6666666666667</v>
      </c>
      <c r="D11" s="23" t="s">
        <v>308</v>
      </c>
      <c r="E11" s="30" t="s">
        <v>309</v>
      </c>
      <c r="F11" s="30" t="s">
        <v>310</v>
      </c>
      <c r="G11" s="30" t="s">
        <v>311</v>
      </c>
      <c r="H11" s="31">
        <v>40</v>
      </c>
      <c r="I11" s="32">
        <f>AVERAGE(H11:H13)</f>
        <v>40</v>
      </c>
      <c r="J11" s="32"/>
      <c r="K11" s="1"/>
      <c r="L11" s="23" t="s">
        <v>308</v>
      </c>
      <c r="M11" s="35" t="s">
        <v>312</v>
      </c>
      <c r="N11" s="35" t="s">
        <v>313</v>
      </c>
      <c r="O11" s="35" t="s">
        <v>314</v>
      </c>
      <c r="P11" s="36">
        <v>60</v>
      </c>
      <c r="Q11" s="32">
        <f>AVERAGE(P11:P14)</f>
        <v>65</v>
      </c>
      <c r="R11" s="34"/>
      <c r="T11" s="23" t="s">
        <v>308</v>
      </c>
      <c r="U11" s="43" t="s">
        <v>309</v>
      </c>
      <c r="V11" s="44" t="s">
        <v>315</v>
      </c>
      <c r="W11" s="44"/>
      <c r="X11" s="45">
        <v>46</v>
      </c>
      <c r="Y11" s="32">
        <f>AVERAGE(X11)/2</f>
        <v>23</v>
      </c>
      <c r="Z11" s="34"/>
      <c r="AB11" s="23" t="s">
        <v>308</v>
      </c>
      <c r="AC11" s="51">
        <v>51.98</v>
      </c>
      <c r="AD11" s="51">
        <v>2022</v>
      </c>
    </row>
    <row r="12" spans="1:30">
      <c r="A12" s="23"/>
      <c r="B12" s="24"/>
      <c r="D12" s="23"/>
      <c r="E12" s="30" t="s">
        <v>309</v>
      </c>
      <c r="F12" s="30" t="s">
        <v>316</v>
      </c>
      <c r="G12" s="30" t="s">
        <v>311</v>
      </c>
      <c r="H12" s="31">
        <v>40</v>
      </c>
      <c r="I12" s="32"/>
      <c r="J12" s="32"/>
      <c r="K12" s="1"/>
      <c r="L12" s="23"/>
      <c r="M12" s="35" t="s">
        <v>312</v>
      </c>
      <c r="N12" s="35" t="s">
        <v>317</v>
      </c>
      <c r="O12" s="35" t="s">
        <v>314</v>
      </c>
      <c r="P12" s="36">
        <v>60</v>
      </c>
      <c r="Q12" s="32"/>
      <c r="R12" s="34"/>
      <c r="T12" s="23"/>
      <c r="U12" s="43"/>
      <c r="V12" s="44"/>
      <c r="W12" s="44"/>
      <c r="X12" s="45"/>
      <c r="Y12" s="32"/>
      <c r="Z12" s="34"/>
      <c r="AB12" s="51" t="s">
        <v>318</v>
      </c>
      <c r="AC12" s="51">
        <v>48.13</v>
      </c>
      <c r="AD12" s="51">
        <v>2022</v>
      </c>
    </row>
    <row r="13" spans="1:30">
      <c r="A13" s="23"/>
      <c r="B13" s="24"/>
      <c r="D13" s="23"/>
      <c r="E13" s="30" t="s">
        <v>309</v>
      </c>
      <c r="F13" s="30" t="s">
        <v>319</v>
      </c>
      <c r="G13" s="30" t="s">
        <v>311</v>
      </c>
      <c r="H13" s="31">
        <v>40</v>
      </c>
      <c r="I13" s="32"/>
      <c r="J13" s="32"/>
      <c r="K13" s="1"/>
      <c r="L13" s="23"/>
      <c r="M13" s="35" t="s">
        <v>312</v>
      </c>
      <c r="N13" s="35" t="s">
        <v>313</v>
      </c>
      <c r="O13" s="35" t="s">
        <v>320</v>
      </c>
      <c r="P13" s="36">
        <v>70</v>
      </c>
      <c r="Q13" s="32"/>
      <c r="R13" s="34"/>
      <c r="T13" s="23"/>
      <c r="U13" s="43"/>
      <c r="V13" s="44"/>
      <c r="W13" s="44"/>
      <c r="X13" s="45"/>
      <c r="Y13" s="32"/>
      <c r="Z13" s="34"/>
    </row>
    <row r="14" spans="1:30">
      <c r="B14" s="24"/>
      <c r="J14" s="32"/>
      <c r="K14" s="1"/>
      <c r="L14" s="1"/>
      <c r="M14" s="35" t="s">
        <v>312</v>
      </c>
      <c r="N14" s="35" t="s">
        <v>317</v>
      </c>
      <c r="O14" s="35" t="s">
        <v>320</v>
      </c>
      <c r="P14" s="36">
        <v>70</v>
      </c>
      <c r="Q14" s="32"/>
      <c r="R14" s="34"/>
      <c r="U14" s="39"/>
      <c r="V14" s="39"/>
      <c r="W14" s="39"/>
      <c r="X14" s="39"/>
      <c r="Y14" s="39"/>
      <c r="Z14" s="39"/>
      <c r="AB14" s="23" t="s">
        <v>321</v>
      </c>
      <c r="AC14" s="51">
        <v>47.6</v>
      </c>
      <c r="AD14" s="51">
        <v>2022</v>
      </c>
    </row>
    <row r="15" spans="1:30">
      <c r="A15" s="23" t="s">
        <v>321</v>
      </c>
      <c r="B15" s="24">
        <f>AVERAGE(I15,Q15,Y15)</f>
        <v>32</v>
      </c>
      <c r="D15" s="23" t="s">
        <v>321</v>
      </c>
      <c r="E15" s="30" t="s">
        <v>309</v>
      </c>
      <c r="F15" s="30" t="s">
        <v>322</v>
      </c>
      <c r="G15" s="30" t="s">
        <v>311</v>
      </c>
      <c r="H15" s="31">
        <v>30</v>
      </c>
      <c r="I15" s="32">
        <f>H15</f>
        <v>30</v>
      </c>
      <c r="J15" s="32"/>
      <c r="K15" s="1"/>
      <c r="L15" s="23" t="s">
        <v>321</v>
      </c>
      <c r="M15" s="35" t="s">
        <v>312</v>
      </c>
      <c r="N15" s="35" t="s">
        <v>323</v>
      </c>
      <c r="O15" s="35" t="s">
        <v>314</v>
      </c>
      <c r="P15" s="36">
        <v>20</v>
      </c>
      <c r="Q15" s="32">
        <f>AVERAGE(P15:P16)</f>
        <v>34</v>
      </c>
      <c r="R15" s="34"/>
      <c r="T15" s="23" t="s">
        <v>321</v>
      </c>
      <c r="U15" s="43" t="s">
        <v>309</v>
      </c>
      <c r="V15" s="44"/>
      <c r="W15" s="44"/>
      <c r="X15" s="45" t="s">
        <v>295</v>
      </c>
      <c r="Y15" s="32"/>
      <c r="Z15" s="34"/>
      <c r="AB15" s="51" t="s">
        <v>324</v>
      </c>
      <c r="AC15" s="51">
        <v>24</v>
      </c>
      <c r="AD15" s="51">
        <v>2022</v>
      </c>
    </row>
    <row r="16" spans="1:30">
      <c r="B16" s="24"/>
      <c r="F16" s="15" t="s">
        <v>325</v>
      </c>
      <c r="H16" s="15" t="s">
        <v>326</v>
      </c>
      <c r="J16" s="32"/>
      <c r="K16" s="1"/>
      <c r="L16" s="1"/>
      <c r="M16" s="35" t="s">
        <v>312</v>
      </c>
      <c r="N16" s="35" t="s">
        <v>323</v>
      </c>
      <c r="O16" s="35" t="s">
        <v>320</v>
      </c>
      <c r="P16" s="36">
        <v>48</v>
      </c>
      <c r="Q16" s="32"/>
      <c r="R16" s="34"/>
      <c r="U16" s="39"/>
      <c r="V16" s="39"/>
      <c r="W16" s="39"/>
      <c r="X16" s="39"/>
      <c r="Y16" s="39"/>
      <c r="Z16" s="39"/>
    </row>
    <row r="17" spans="1:30">
      <c r="A17" s="23" t="s">
        <v>327</v>
      </c>
      <c r="B17" s="24">
        <f>AVERAGE(I17,Q17,Y17)</f>
        <v>12.27</v>
      </c>
      <c r="D17" s="23" t="s">
        <v>327</v>
      </c>
      <c r="E17" s="30" t="s">
        <v>328</v>
      </c>
      <c r="F17" s="30" t="s">
        <v>329</v>
      </c>
      <c r="G17" s="30" t="s">
        <v>330</v>
      </c>
      <c r="H17" s="31">
        <v>12</v>
      </c>
      <c r="I17" s="16">
        <f>(H17*2+H18)/2</f>
        <v>16.55</v>
      </c>
      <c r="J17" s="32">
        <f>H17/500</f>
        <v>2.4E-2</v>
      </c>
      <c r="K17" s="1"/>
      <c r="L17" s="23" t="s">
        <v>327</v>
      </c>
      <c r="M17" s="35" t="s">
        <v>331</v>
      </c>
      <c r="N17" s="35" t="s">
        <v>329</v>
      </c>
      <c r="O17" s="35" t="s">
        <v>320</v>
      </c>
      <c r="P17" s="36">
        <v>3</v>
      </c>
      <c r="Q17" s="32">
        <f>(P17*2+P18)/2</f>
        <v>7.99</v>
      </c>
      <c r="R17" s="32">
        <f>P17/500</f>
        <v>6.0000000000000001E-3</v>
      </c>
      <c r="T17" s="23" t="s">
        <v>327</v>
      </c>
      <c r="U17" s="43" t="s">
        <v>328</v>
      </c>
      <c r="V17" s="44" t="s">
        <v>329</v>
      </c>
      <c r="W17" s="44" t="s">
        <v>330</v>
      </c>
      <c r="X17" s="45" t="s">
        <v>295</v>
      </c>
      <c r="Y17" s="32"/>
      <c r="Z17" s="34"/>
      <c r="AB17" s="23" t="s">
        <v>332</v>
      </c>
      <c r="AC17" s="51">
        <v>152.59</v>
      </c>
      <c r="AD17" s="51">
        <v>2023</v>
      </c>
    </row>
    <row r="18" spans="1:30">
      <c r="A18" s="23"/>
      <c r="B18" s="24"/>
      <c r="D18" s="23"/>
      <c r="E18" s="30" t="s">
        <v>328</v>
      </c>
      <c r="F18" s="30" t="s">
        <v>333</v>
      </c>
      <c r="G18" s="30" t="s">
        <v>330</v>
      </c>
      <c r="H18" s="31">
        <v>9.1</v>
      </c>
      <c r="J18" s="32">
        <f>H18/1000</f>
        <v>9.1000000000000004E-3</v>
      </c>
      <c r="K18" s="1"/>
      <c r="L18" s="23"/>
      <c r="M18" s="35" t="s">
        <v>331</v>
      </c>
      <c r="N18" s="35" t="s">
        <v>333</v>
      </c>
      <c r="O18" s="35" t="s">
        <v>320</v>
      </c>
      <c r="P18" s="36">
        <v>9.98</v>
      </c>
      <c r="Q18" s="32"/>
      <c r="R18" s="32">
        <f>P18/1000</f>
        <v>9.9799999999999993E-3</v>
      </c>
      <c r="T18" s="23"/>
      <c r="U18" s="43" t="s">
        <v>328</v>
      </c>
      <c r="V18" s="44" t="s">
        <v>333</v>
      </c>
      <c r="W18" s="44" t="s">
        <v>330</v>
      </c>
      <c r="X18" s="45" t="s">
        <v>295</v>
      </c>
      <c r="Y18" s="32"/>
      <c r="Z18" s="34"/>
      <c r="AB18" s="23" t="s">
        <v>334</v>
      </c>
      <c r="AC18" s="51">
        <v>25.38</v>
      </c>
      <c r="AD18" s="51">
        <v>2022</v>
      </c>
    </row>
    <row r="19" spans="1:30">
      <c r="A19" s="23" t="s">
        <v>335</v>
      </c>
      <c r="B19" s="24">
        <f>AVERAGE(I19,Q19,Y19)</f>
        <v>111.911111111111</v>
      </c>
      <c r="D19" s="23" t="s">
        <v>332</v>
      </c>
      <c r="E19" s="29" t="s">
        <v>336</v>
      </c>
      <c r="F19" s="30" t="s">
        <v>337</v>
      </c>
      <c r="G19" s="30" t="s">
        <v>338</v>
      </c>
      <c r="H19" s="31">
        <v>88</v>
      </c>
      <c r="I19" s="32">
        <f>AVERAGE(H19:H24)</f>
        <v>109.333333333333</v>
      </c>
      <c r="J19" s="32"/>
      <c r="K19" s="1"/>
      <c r="L19" s="23" t="s">
        <v>332</v>
      </c>
      <c r="M19" s="35" t="s">
        <v>339</v>
      </c>
      <c r="N19" s="35" t="s">
        <v>340</v>
      </c>
      <c r="O19" s="35" t="s">
        <v>286</v>
      </c>
      <c r="P19" s="36">
        <v>86</v>
      </c>
      <c r="Q19" s="32">
        <f>AVERAGE(P19:P23)</f>
        <v>91.4</v>
      </c>
      <c r="R19" s="34"/>
      <c r="T19" s="23" t="s">
        <v>332</v>
      </c>
      <c r="U19" s="42" t="s">
        <v>336</v>
      </c>
      <c r="V19" s="43" t="s">
        <v>341</v>
      </c>
      <c r="W19" s="44" t="s">
        <v>338</v>
      </c>
      <c r="X19" s="45">
        <v>100</v>
      </c>
      <c r="Y19" s="32">
        <f>AVERAGE(X19:X20)</f>
        <v>135</v>
      </c>
      <c r="Z19" s="32"/>
    </row>
    <row r="20" spans="1:30">
      <c r="A20" s="25"/>
      <c r="B20" s="24"/>
      <c r="D20" s="23"/>
      <c r="E20" s="29" t="s">
        <v>336</v>
      </c>
      <c r="F20" s="30" t="s">
        <v>342</v>
      </c>
      <c r="G20" s="30" t="s">
        <v>338</v>
      </c>
      <c r="H20" s="31">
        <v>110</v>
      </c>
      <c r="I20" s="32"/>
      <c r="J20" s="32"/>
      <c r="K20" s="1"/>
      <c r="L20" s="33"/>
      <c r="M20" s="35" t="s">
        <v>339</v>
      </c>
      <c r="N20" s="35" t="s">
        <v>342</v>
      </c>
      <c r="O20" s="35" t="s">
        <v>286</v>
      </c>
      <c r="P20" s="36">
        <v>92</v>
      </c>
      <c r="Q20" s="32"/>
      <c r="R20" s="34"/>
      <c r="T20" s="33"/>
      <c r="U20" s="42" t="s">
        <v>343</v>
      </c>
      <c r="V20" s="43" t="s">
        <v>344</v>
      </c>
      <c r="W20" s="44" t="s">
        <v>281</v>
      </c>
      <c r="X20" s="45">
        <v>170</v>
      </c>
      <c r="Y20" s="32"/>
      <c r="Z20" s="32"/>
    </row>
    <row r="21" spans="1:30">
      <c r="A21" s="25"/>
      <c r="B21" s="24"/>
      <c r="D21" s="23"/>
      <c r="E21" s="29" t="s">
        <v>336</v>
      </c>
      <c r="F21" s="30" t="s">
        <v>341</v>
      </c>
      <c r="G21" s="30" t="s">
        <v>338</v>
      </c>
      <c r="H21" s="31">
        <v>110</v>
      </c>
      <c r="I21" s="32"/>
      <c r="J21" s="32"/>
      <c r="K21" s="1"/>
      <c r="L21" s="33"/>
      <c r="M21" s="35" t="s">
        <v>339</v>
      </c>
      <c r="N21" s="35" t="s">
        <v>345</v>
      </c>
      <c r="O21" s="35" t="s">
        <v>346</v>
      </c>
      <c r="P21" s="36">
        <v>92</v>
      </c>
      <c r="Q21" s="32"/>
      <c r="R21" s="34"/>
      <c r="T21" s="33"/>
      <c r="U21" s="42"/>
      <c r="V21" s="42"/>
      <c r="W21" s="42"/>
      <c r="X21" s="42"/>
      <c r="Y21" s="42"/>
      <c r="Z21" s="42"/>
    </row>
    <row r="22" spans="1:30">
      <c r="A22" s="25"/>
      <c r="B22" s="24"/>
      <c r="D22" s="23"/>
      <c r="E22" s="29" t="s">
        <v>336</v>
      </c>
      <c r="F22" s="30" t="s">
        <v>347</v>
      </c>
      <c r="G22" s="30" t="s">
        <v>348</v>
      </c>
      <c r="H22" s="31">
        <v>116</v>
      </c>
      <c r="I22" s="32"/>
      <c r="J22" s="32"/>
      <c r="K22" s="1"/>
      <c r="L22" s="33"/>
      <c r="M22" s="35" t="s">
        <v>339</v>
      </c>
      <c r="N22" s="35" t="s">
        <v>349</v>
      </c>
      <c r="O22" s="35" t="s">
        <v>350</v>
      </c>
      <c r="P22" s="36">
        <v>95</v>
      </c>
      <c r="Q22" s="32"/>
      <c r="R22" s="34"/>
      <c r="T22" s="33"/>
      <c r="U22" s="42"/>
      <c r="V22" s="42"/>
      <c r="W22" s="42"/>
      <c r="X22" s="42"/>
      <c r="Y22" s="42"/>
      <c r="Z22" s="42"/>
    </row>
    <row r="23" spans="1:30">
      <c r="A23" s="23"/>
      <c r="B23" s="24"/>
      <c r="D23" s="23"/>
      <c r="E23" s="29" t="s">
        <v>336</v>
      </c>
      <c r="F23" s="30" t="s">
        <v>351</v>
      </c>
      <c r="G23" s="30" t="s">
        <v>348</v>
      </c>
      <c r="H23" s="31">
        <v>116</v>
      </c>
      <c r="I23" s="32"/>
      <c r="J23" s="32"/>
      <c r="K23" s="1"/>
      <c r="L23" s="33"/>
      <c r="M23" s="35" t="s">
        <v>352</v>
      </c>
      <c r="N23" s="35" t="s">
        <v>353</v>
      </c>
      <c r="O23" s="35" t="s">
        <v>278</v>
      </c>
      <c r="P23" s="36">
        <v>92</v>
      </c>
      <c r="Q23" s="32"/>
      <c r="R23" s="34"/>
      <c r="T23" s="33"/>
      <c r="U23" s="42"/>
      <c r="V23" s="42"/>
      <c r="W23" s="42"/>
      <c r="X23" s="42"/>
      <c r="Y23" s="42"/>
      <c r="Z23" s="42"/>
      <c r="AB23" s="23" t="s">
        <v>354</v>
      </c>
      <c r="AC23" s="51">
        <v>508.49</v>
      </c>
      <c r="AD23" s="51">
        <v>2022</v>
      </c>
    </row>
    <row r="24" spans="1:30">
      <c r="A24" s="23"/>
      <c r="B24" s="24"/>
      <c r="D24" s="23"/>
      <c r="E24" s="29" t="s">
        <v>355</v>
      </c>
      <c r="F24" s="30" t="s">
        <v>356</v>
      </c>
      <c r="G24" s="30" t="s">
        <v>357</v>
      </c>
      <c r="H24" s="31">
        <v>116</v>
      </c>
      <c r="I24" s="32"/>
      <c r="J24" s="32"/>
      <c r="K24" s="1"/>
      <c r="L24" s="34"/>
      <c r="M24" s="34"/>
      <c r="N24" s="34"/>
      <c r="O24" s="34"/>
      <c r="P24" s="34"/>
      <c r="Q24" s="32"/>
      <c r="R24" s="34"/>
      <c r="T24" s="34"/>
      <c r="U24" s="42"/>
      <c r="V24" s="42"/>
      <c r="W24" s="42"/>
      <c r="X24" s="42"/>
      <c r="Y24" s="42"/>
      <c r="Z24" s="42"/>
      <c r="AB24" s="23" t="s">
        <v>358</v>
      </c>
      <c r="AC24" s="51">
        <v>138.9</v>
      </c>
      <c r="AD24" s="51">
        <v>2022</v>
      </c>
    </row>
    <row r="25" spans="1:30">
      <c r="A25" s="23" t="s">
        <v>354</v>
      </c>
      <c r="B25" s="24">
        <f>AVERAGE(I25,R25,Z25)</f>
        <v>64</v>
      </c>
      <c r="D25" s="23" t="s">
        <v>354</v>
      </c>
      <c r="E25" s="30" t="s">
        <v>359</v>
      </c>
      <c r="F25" s="30">
        <v>5</v>
      </c>
      <c r="G25" s="30" t="s">
        <v>360</v>
      </c>
      <c r="H25" s="31">
        <v>320</v>
      </c>
      <c r="I25" s="32">
        <f>H25/5</f>
        <v>64</v>
      </c>
      <c r="J25" s="32"/>
      <c r="K25" s="1"/>
      <c r="L25" s="23" t="s">
        <v>354</v>
      </c>
      <c r="M25" s="35" t="s">
        <v>361</v>
      </c>
      <c r="N25" s="35" t="s">
        <v>362</v>
      </c>
      <c r="O25" s="35" t="s">
        <v>363</v>
      </c>
      <c r="P25" s="36">
        <v>320</v>
      </c>
      <c r="Q25" s="32">
        <f>P25</f>
        <v>320</v>
      </c>
      <c r="R25" s="32">
        <f>Q25/5</f>
        <v>64</v>
      </c>
      <c r="T25" s="23" t="s">
        <v>354</v>
      </c>
      <c r="U25" s="42" t="s">
        <v>359</v>
      </c>
      <c r="V25" s="42">
        <v>5</v>
      </c>
      <c r="W25" s="42" t="s">
        <v>360</v>
      </c>
      <c r="X25" s="42">
        <v>320</v>
      </c>
      <c r="Y25" s="32">
        <f>X25</f>
        <v>320</v>
      </c>
      <c r="Z25" s="32">
        <f>Y25/5</f>
        <v>64</v>
      </c>
      <c r="AB25" s="23" t="s">
        <v>364</v>
      </c>
      <c r="AC25" s="51">
        <v>493.7</v>
      </c>
      <c r="AD25" s="51">
        <v>2023</v>
      </c>
    </row>
    <row r="26" spans="1:30">
      <c r="A26" s="23" t="s">
        <v>358</v>
      </c>
      <c r="B26" s="24">
        <f>AVERAGE(I26,R26,Z26)</f>
        <v>12.628</v>
      </c>
      <c r="D26" s="23" t="s">
        <v>358</v>
      </c>
      <c r="E26" s="30" t="s">
        <v>365</v>
      </c>
      <c r="F26" s="30" t="s">
        <v>366</v>
      </c>
      <c r="G26" s="30" t="s">
        <v>367</v>
      </c>
      <c r="H26" s="31">
        <v>32</v>
      </c>
      <c r="I26" s="32">
        <f>H26/2.5</f>
        <v>12.8</v>
      </c>
      <c r="J26" s="32"/>
      <c r="K26" s="1"/>
      <c r="L26" s="23" t="s">
        <v>358</v>
      </c>
      <c r="M26" s="35" t="s">
        <v>368</v>
      </c>
      <c r="N26" s="35" t="s">
        <v>369</v>
      </c>
      <c r="O26" s="35" t="s">
        <v>370</v>
      </c>
      <c r="P26" s="36">
        <v>30.71</v>
      </c>
      <c r="Q26" s="32">
        <f>P26</f>
        <v>30.71</v>
      </c>
      <c r="R26" s="32">
        <f>Q26/2.5</f>
        <v>12.284000000000001</v>
      </c>
      <c r="T26" s="23" t="s">
        <v>358</v>
      </c>
      <c r="U26" s="43" t="s">
        <v>365</v>
      </c>
      <c r="V26" s="44" t="s">
        <v>366</v>
      </c>
      <c r="W26" s="44" t="s">
        <v>367</v>
      </c>
      <c r="X26" s="45">
        <v>32</v>
      </c>
      <c r="Y26" s="32">
        <f>X26</f>
        <v>32</v>
      </c>
      <c r="Z26" s="32">
        <f>Y26/2.5</f>
        <v>12.8</v>
      </c>
      <c r="AB26" s="51"/>
      <c r="AC26" s="51"/>
      <c r="AD26" s="51"/>
    </row>
    <row r="27" spans="1:30">
      <c r="A27" s="23" t="s">
        <v>364</v>
      </c>
      <c r="B27" s="24">
        <f>AVERAGE(J27,R27,Z27)</f>
        <v>59.6666666666667</v>
      </c>
      <c r="D27" s="23" t="s">
        <v>364</v>
      </c>
      <c r="E27" s="30" t="s">
        <v>371</v>
      </c>
      <c r="F27" s="30" t="s">
        <v>372</v>
      </c>
      <c r="G27" s="30" t="s">
        <v>373</v>
      </c>
      <c r="H27" s="31">
        <v>360</v>
      </c>
      <c r="I27" s="32">
        <f>H27/6</f>
        <v>60</v>
      </c>
      <c r="J27" s="32">
        <f>AVERAGE(I27:I29)</f>
        <v>69.3333333333333</v>
      </c>
      <c r="K27" s="1"/>
      <c r="L27" s="23" t="s">
        <v>364</v>
      </c>
      <c r="M27" s="35" t="s">
        <v>374</v>
      </c>
      <c r="N27" s="35" t="s">
        <v>372</v>
      </c>
      <c r="O27" s="35" t="s">
        <v>278</v>
      </c>
      <c r="P27" s="37" t="s">
        <v>295</v>
      </c>
      <c r="Q27" s="32"/>
      <c r="R27" s="32"/>
      <c r="T27" s="23" t="s">
        <v>364</v>
      </c>
      <c r="U27" s="43" t="s">
        <v>371</v>
      </c>
      <c r="V27" s="44" t="s">
        <v>372</v>
      </c>
      <c r="W27" s="44" t="s">
        <v>373</v>
      </c>
      <c r="X27" s="45"/>
      <c r="Z27" s="32">
        <f>AVERAGE(Y27:Y29)</f>
        <v>50</v>
      </c>
      <c r="AB27" s="51"/>
      <c r="AC27" s="51"/>
      <c r="AD27" s="51"/>
    </row>
    <row r="28" spans="1:30">
      <c r="A28" s="23"/>
      <c r="B28" s="24"/>
      <c r="D28" s="23"/>
      <c r="E28" s="30" t="s">
        <v>371</v>
      </c>
      <c r="F28" s="30" t="s">
        <v>362</v>
      </c>
      <c r="G28" s="30" t="s">
        <v>281</v>
      </c>
      <c r="H28" s="31">
        <v>320</v>
      </c>
      <c r="I28" s="32">
        <f>H28/5</f>
        <v>64</v>
      </c>
      <c r="J28" s="32"/>
      <c r="K28" s="1"/>
      <c r="L28" s="23"/>
      <c r="M28" s="35" t="s">
        <v>374</v>
      </c>
      <c r="N28" s="35" t="s">
        <v>362</v>
      </c>
      <c r="O28" s="35" t="s">
        <v>346</v>
      </c>
      <c r="P28" s="37" t="s">
        <v>295</v>
      </c>
      <c r="Q28" s="32"/>
      <c r="R28" s="34"/>
      <c r="T28" s="23"/>
      <c r="U28" s="43" t="s">
        <v>371</v>
      </c>
      <c r="V28" s="44" t="s">
        <v>362</v>
      </c>
      <c r="W28" s="44" t="s">
        <v>281</v>
      </c>
      <c r="X28" s="45">
        <v>250</v>
      </c>
      <c r="Y28" s="32">
        <f>X28/5</f>
        <v>50</v>
      </c>
      <c r="Z28" s="34"/>
      <c r="AB28" s="51" t="s">
        <v>375</v>
      </c>
      <c r="AC28" s="51">
        <v>1219.45</v>
      </c>
      <c r="AD28" s="51">
        <v>2023</v>
      </c>
    </row>
    <row r="29" spans="1:30">
      <c r="A29" s="23"/>
      <c r="B29" s="24"/>
      <c r="D29" s="23"/>
      <c r="E29" s="30" t="s">
        <v>371</v>
      </c>
      <c r="F29" s="30" t="s">
        <v>362</v>
      </c>
      <c r="G29" s="30" t="s">
        <v>376</v>
      </c>
      <c r="H29" s="31">
        <v>420</v>
      </c>
      <c r="I29" s="32">
        <f>H29/5</f>
        <v>84</v>
      </c>
      <c r="J29" s="32"/>
      <c r="K29" s="1"/>
      <c r="L29" s="23"/>
      <c r="M29" s="35" t="s">
        <v>374</v>
      </c>
      <c r="N29" s="35" t="s">
        <v>362</v>
      </c>
      <c r="O29" s="35" t="s">
        <v>377</v>
      </c>
      <c r="P29" s="37" t="s">
        <v>295</v>
      </c>
      <c r="Q29" s="32"/>
      <c r="R29" s="34"/>
      <c r="T29" s="23"/>
      <c r="U29" s="43" t="s">
        <v>371</v>
      </c>
      <c r="V29" s="44" t="s">
        <v>362</v>
      </c>
      <c r="W29" s="44" t="s">
        <v>376</v>
      </c>
      <c r="X29" s="45"/>
      <c r="Y29" s="32"/>
      <c r="Z29" s="34"/>
      <c r="AB29" s="51" t="s">
        <v>375</v>
      </c>
      <c r="AC29" s="51">
        <v>1801.28</v>
      </c>
      <c r="AD29" s="51">
        <v>2022</v>
      </c>
    </row>
    <row r="30" spans="1:30" ht="23">
      <c r="A30" s="23" t="s">
        <v>375</v>
      </c>
      <c r="B30" s="24">
        <f>AVERAGE(I30,Q30,Y30)</f>
        <v>1326.5277777777801</v>
      </c>
      <c r="D30" s="23" t="s">
        <v>378</v>
      </c>
      <c r="E30" s="30" t="s">
        <v>379</v>
      </c>
      <c r="F30" s="30" t="s">
        <v>380</v>
      </c>
      <c r="G30" s="30" t="s">
        <v>373</v>
      </c>
      <c r="H30" s="31">
        <v>1600</v>
      </c>
      <c r="I30" s="32">
        <f>AVERAGE(H30:H32)</f>
        <v>1433.3333333333301</v>
      </c>
      <c r="J30" s="32"/>
      <c r="K30" s="1"/>
      <c r="L30" s="23" t="s">
        <v>378</v>
      </c>
      <c r="M30" s="35" t="s">
        <v>381</v>
      </c>
      <c r="N30" s="35" t="s">
        <v>380</v>
      </c>
      <c r="O30" s="35" t="s">
        <v>278</v>
      </c>
      <c r="P30" s="36">
        <v>2400</v>
      </c>
      <c r="Q30" s="32">
        <f>AVERAGE(P30:P33)</f>
        <v>1346.25</v>
      </c>
      <c r="R30" s="34"/>
      <c r="T30" s="23" t="s">
        <v>378</v>
      </c>
      <c r="U30" s="43" t="s">
        <v>379</v>
      </c>
      <c r="V30" s="44"/>
      <c r="W30" s="44" t="s">
        <v>281</v>
      </c>
      <c r="X30" s="45">
        <v>1200</v>
      </c>
      <c r="Y30" s="32">
        <f>X30</f>
        <v>1200</v>
      </c>
      <c r="Z30" s="34"/>
      <c r="AB30" s="51" t="s">
        <v>382</v>
      </c>
      <c r="AC30" s="51">
        <v>1200</v>
      </c>
      <c r="AD30" s="51"/>
    </row>
    <row r="31" spans="1:30" ht="23">
      <c r="A31" s="23"/>
      <c r="B31" s="24"/>
      <c r="D31" s="23"/>
      <c r="E31" s="30" t="s">
        <v>379</v>
      </c>
      <c r="F31" s="30" t="s">
        <v>383</v>
      </c>
      <c r="G31" s="30" t="s">
        <v>376</v>
      </c>
      <c r="H31" s="31">
        <v>1300</v>
      </c>
      <c r="I31" s="32"/>
      <c r="J31" s="32"/>
      <c r="K31" s="1"/>
      <c r="L31" s="33"/>
      <c r="M31" s="35" t="s">
        <v>381</v>
      </c>
      <c r="N31" s="35" t="s">
        <v>383</v>
      </c>
      <c r="O31" s="35" t="s">
        <v>377</v>
      </c>
      <c r="P31" s="36">
        <v>990</v>
      </c>
      <c r="Q31" s="32"/>
      <c r="R31" s="34"/>
      <c r="T31" s="39"/>
      <c r="U31" s="39"/>
      <c r="V31" s="39"/>
      <c r="W31" s="39"/>
      <c r="X31" s="39"/>
      <c r="Y31" s="39"/>
      <c r="Z31" s="39"/>
      <c r="AB31" s="51" t="s">
        <v>384</v>
      </c>
      <c r="AC31" s="51">
        <v>20000</v>
      </c>
      <c r="AD31" s="51"/>
    </row>
    <row r="32" spans="1:30">
      <c r="A32" s="23"/>
      <c r="B32" s="24"/>
      <c r="D32" s="23"/>
      <c r="E32" s="30" t="s">
        <v>379</v>
      </c>
      <c r="F32" s="30"/>
      <c r="G32" s="30" t="s">
        <v>281</v>
      </c>
      <c r="H32" s="31">
        <v>1400</v>
      </c>
      <c r="I32" s="32"/>
      <c r="J32" s="32"/>
      <c r="K32" s="1"/>
      <c r="L32" s="33"/>
      <c r="M32" s="35" t="s">
        <v>381</v>
      </c>
      <c r="N32" s="35" t="s">
        <v>385</v>
      </c>
      <c r="O32" s="35" t="s">
        <v>386</v>
      </c>
      <c r="P32" s="36">
        <v>1000</v>
      </c>
      <c r="Q32" s="32"/>
      <c r="R32" s="34"/>
      <c r="T32" s="39"/>
      <c r="U32" s="39"/>
      <c r="V32" s="39"/>
      <c r="W32" s="39"/>
      <c r="X32" s="39"/>
      <c r="Y32" s="39"/>
      <c r="Z32" s="39"/>
    </row>
    <row r="33" spans="1:26">
      <c r="A33" s="23"/>
      <c r="D33" s="23"/>
      <c r="E33" s="30"/>
      <c r="F33" s="30"/>
      <c r="G33" s="30"/>
      <c r="H33" s="31"/>
      <c r="I33" s="32"/>
      <c r="J33" s="32"/>
      <c r="K33" s="1"/>
      <c r="L33" s="33"/>
      <c r="M33" s="35" t="s">
        <v>381</v>
      </c>
      <c r="N33" s="35" t="s">
        <v>387</v>
      </c>
      <c r="O33" s="35"/>
      <c r="P33" s="36">
        <v>995</v>
      </c>
      <c r="Q33" s="32"/>
      <c r="R33" s="34"/>
      <c r="T33" s="39"/>
      <c r="U33" s="50"/>
      <c r="V33" s="50"/>
      <c r="W33" s="50"/>
      <c r="X33" s="50"/>
      <c r="Y33" s="50"/>
      <c r="Z33" s="34"/>
    </row>
    <row r="34" spans="1:26">
      <c r="A34" s="23" t="s">
        <v>388</v>
      </c>
      <c r="B34" s="24">
        <f>AVERAGE(I34,Q34,Y34)</f>
        <v>2500</v>
      </c>
      <c r="D34" s="23"/>
      <c r="E34" s="30" t="s">
        <v>389</v>
      </c>
      <c r="F34" s="30" t="s">
        <v>390</v>
      </c>
      <c r="G34" s="30" t="s">
        <v>101</v>
      </c>
      <c r="H34" s="31">
        <v>3000</v>
      </c>
      <c r="I34" s="32">
        <f>H34</f>
        <v>3000</v>
      </c>
      <c r="J34" s="32"/>
      <c r="K34" s="1"/>
      <c r="L34" s="33"/>
      <c r="M34" s="35" t="s">
        <v>391</v>
      </c>
      <c r="N34" s="35" t="s">
        <v>390</v>
      </c>
      <c r="O34" s="35" t="s">
        <v>101</v>
      </c>
      <c r="P34" s="36"/>
      <c r="Q34" s="32"/>
      <c r="R34" s="34"/>
      <c r="T34" s="40"/>
      <c r="U34" s="43" t="s">
        <v>389</v>
      </c>
      <c r="V34" s="44" t="s">
        <v>390</v>
      </c>
      <c r="W34" s="44" t="s">
        <v>101</v>
      </c>
      <c r="X34" s="45">
        <v>2000</v>
      </c>
      <c r="Y34" s="32">
        <f>X34</f>
        <v>2000</v>
      </c>
      <c r="Z34" s="34"/>
    </row>
    <row r="35" spans="1:26">
      <c r="A35" s="23" t="s">
        <v>392</v>
      </c>
      <c r="B35" s="24">
        <f>AVERAGE(I35,Q35,Y35)</f>
        <v>21000</v>
      </c>
      <c r="E35" s="30" t="s">
        <v>393</v>
      </c>
      <c r="F35" s="30" t="s">
        <v>394</v>
      </c>
      <c r="G35" s="30" t="s">
        <v>101</v>
      </c>
      <c r="H35" s="31">
        <v>22000</v>
      </c>
      <c r="I35" s="32">
        <f>H35</f>
        <v>22000</v>
      </c>
      <c r="J35" s="32"/>
      <c r="K35" s="1"/>
      <c r="L35" s="33"/>
      <c r="M35" s="35" t="s">
        <v>395</v>
      </c>
      <c r="N35" s="35" t="s">
        <v>394</v>
      </c>
      <c r="O35" s="35" t="s">
        <v>101</v>
      </c>
      <c r="P35" s="36"/>
      <c r="Q35" s="32"/>
      <c r="R35" s="34"/>
      <c r="T35" s="41"/>
      <c r="U35" s="50" t="s">
        <v>396</v>
      </c>
      <c r="V35" s="50" t="s">
        <v>394</v>
      </c>
      <c r="W35" s="50" t="s">
        <v>101</v>
      </c>
      <c r="X35" s="45">
        <v>20000</v>
      </c>
      <c r="Y35" s="32">
        <f>X35</f>
        <v>20000</v>
      </c>
      <c r="Z35" s="34"/>
    </row>
    <row r="36" spans="1:26">
      <c r="A36" s="23" t="s">
        <v>334</v>
      </c>
      <c r="B36" s="24">
        <f>AVERAGE(I36,Q36,Y36)</f>
        <v>0</v>
      </c>
      <c r="D36" s="23" t="s">
        <v>334</v>
      </c>
      <c r="E36" s="30"/>
      <c r="F36" s="30"/>
      <c r="G36" s="30"/>
      <c r="H36" s="31"/>
      <c r="I36" s="32">
        <v>0</v>
      </c>
      <c r="J36" s="32"/>
      <c r="K36" s="1"/>
      <c r="L36" s="23" t="s">
        <v>334</v>
      </c>
      <c r="M36" s="34"/>
      <c r="N36" s="34"/>
      <c r="O36" s="34"/>
      <c r="P36" s="34"/>
      <c r="Q36" s="34">
        <v>0</v>
      </c>
      <c r="R36" s="34"/>
      <c r="T36" s="23" t="s">
        <v>334</v>
      </c>
      <c r="U36" s="50"/>
      <c r="V36" s="50"/>
      <c r="W36" s="50"/>
      <c r="X36" s="50"/>
      <c r="Y36" s="32">
        <v>0</v>
      </c>
      <c r="Z36" s="34"/>
    </row>
    <row r="37" spans="1:26">
      <c r="B37" s="24"/>
      <c r="J37" s="32"/>
      <c r="K37" s="1"/>
      <c r="L37" s="26" t="s">
        <v>397</v>
      </c>
      <c r="M37" s="1"/>
      <c r="N37" s="1"/>
      <c r="O37" s="1"/>
      <c r="P37" s="1"/>
      <c r="Q37" s="1"/>
      <c r="R37" s="1"/>
      <c r="T37" s="26" t="s">
        <v>398</v>
      </c>
      <c r="Y37" s="1"/>
      <c r="Z37" s="1"/>
    </row>
    <row r="38" spans="1:26">
      <c r="A38" s="23" t="s">
        <v>399</v>
      </c>
      <c r="B38" s="24"/>
      <c r="D38" s="23" t="s">
        <v>399</v>
      </c>
      <c r="E38" s="29" t="s">
        <v>400</v>
      </c>
      <c r="F38" s="30" t="s">
        <v>401</v>
      </c>
      <c r="G38" s="30" t="s">
        <v>402</v>
      </c>
      <c r="H38" s="31">
        <v>599</v>
      </c>
      <c r="I38" s="32"/>
      <c r="J38" s="32"/>
      <c r="K38" s="1"/>
      <c r="L38" s="26" t="s">
        <v>403</v>
      </c>
      <c r="M38" s="1"/>
      <c r="N38" s="1"/>
      <c r="O38" s="1"/>
      <c r="P38" s="1"/>
      <c r="Q38" s="1"/>
      <c r="R38" s="1"/>
      <c r="T38" s="26" t="s">
        <v>404</v>
      </c>
      <c r="Y38" s="1"/>
      <c r="Z38" s="1"/>
    </row>
    <row r="39" spans="1:26">
      <c r="A39" s="23"/>
      <c r="B39" s="24"/>
      <c r="D39" s="23"/>
      <c r="E39" s="29" t="s">
        <v>405</v>
      </c>
      <c r="F39" s="30" t="s">
        <v>154</v>
      </c>
      <c r="G39" s="30" t="s">
        <v>373</v>
      </c>
      <c r="H39" s="31">
        <v>844</v>
      </c>
      <c r="I39" s="32"/>
      <c r="J39" s="32"/>
      <c r="K39" s="1"/>
      <c r="L39" s="26" t="s">
        <v>406</v>
      </c>
      <c r="M39" s="1"/>
      <c r="N39" s="1"/>
      <c r="O39" s="1"/>
      <c r="P39" s="1"/>
      <c r="Q39" s="1"/>
      <c r="R39" s="1"/>
      <c r="Y39" s="1"/>
      <c r="Z39" s="1"/>
    </row>
    <row r="40" spans="1:26">
      <c r="A40" s="23"/>
      <c r="B40" s="24"/>
      <c r="D40" s="23"/>
      <c r="E40" s="29" t="s">
        <v>343</v>
      </c>
      <c r="F40" s="30" t="s">
        <v>407</v>
      </c>
      <c r="G40" s="30" t="s">
        <v>281</v>
      </c>
      <c r="H40" s="31">
        <v>205</v>
      </c>
      <c r="I40" s="32"/>
      <c r="J40" s="32"/>
      <c r="K40" s="1"/>
      <c r="L40" s="1"/>
      <c r="R40" s="1"/>
      <c r="Y40" s="1"/>
      <c r="Z40" s="1"/>
    </row>
    <row r="41" spans="1:26">
      <c r="A41" s="23"/>
      <c r="B41" s="24"/>
      <c r="D41" s="23"/>
      <c r="E41" s="29" t="s">
        <v>408</v>
      </c>
      <c r="F41" s="30" t="s">
        <v>409</v>
      </c>
      <c r="G41" s="30" t="s">
        <v>348</v>
      </c>
      <c r="H41" s="31">
        <v>12</v>
      </c>
      <c r="I41" s="32"/>
      <c r="J41" s="32"/>
      <c r="K41" s="1"/>
      <c r="L41" s="1"/>
      <c r="M41" s="1"/>
      <c r="N41" s="1"/>
      <c r="O41" s="1"/>
      <c r="P41" s="1"/>
      <c r="Q41" s="1"/>
      <c r="R41" s="1"/>
      <c r="Y41" s="1"/>
      <c r="Z41" s="1"/>
    </row>
    <row r="42" spans="1:26">
      <c r="A42" s="23"/>
      <c r="B42" s="24"/>
      <c r="D42" s="23"/>
      <c r="E42" s="29" t="s">
        <v>410</v>
      </c>
      <c r="F42" s="30" t="s">
        <v>411</v>
      </c>
      <c r="G42" s="30" t="s">
        <v>373</v>
      </c>
      <c r="H42" s="31">
        <v>9</v>
      </c>
      <c r="I42" s="32"/>
      <c r="J42" s="32"/>
      <c r="K42" s="1"/>
      <c r="L42" s="1"/>
      <c r="M42" s="1"/>
      <c r="N42" s="1"/>
      <c r="O42" s="1"/>
      <c r="P42" s="1"/>
      <c r="Q42" s="1"/>
      <c r="R42" s="1"/>
      <c r="Y42" s="1"/>
      <c r="Z42" s="1"/>
    </row>
    <row r="43" spans="1:26">
      <c r="A43" s="23"/>
      <c r="B43" s="24"/>
      <c r="D43" s="23"/>
      <c r="E43" s="29" t="s">
        <v>412</v>
      </c>
      <c r="F43" s="30" t="s">
        <v>413</v>
      </c>
      <c r="G43" s="30" t="s">
        <v>414</v>
      </c>
      <c r="H43" s="31">
        <v>30.5</v>
      </c>
      <c r="I43" s="32"/>
      <c r="J43" s="32"/>
      <c r="K43" s="1"/>
      <c r="L43" s="1"/>
      <c r="M43" s="1"/>
      <c r="N43" s="1"/>
      <c r="O43" s="1"/>
      <c r="P43" s="1"/>
      <c r="Q43" s="1"/>
      <c r="R43" s="1"/>
      <c r="Y43" s="1"/>
      <c r="Z43" s="1"/>
    </row>
    <row r="44" spans="1:26">
      <c r="A44" s="23"/>
      <c r="B44" s="24"/>
      <c r="D44" s="23"/>
      <c r="E44" s="29" t="s">
        <v>412</v>
      </c>
      <c r="F44" s="30" t="s">
        <v>415</v>
      </c>
      <c r="G44" s="30" t="s">
        <v>414</v>
      </c>
      <c r="H44" s="31">
        <v>30.5</v>
      </c>
      <c r="I44" s="32"/>
      <c r="J44" s="32"/>
      <c r="K44" s="1"/>
      <c r="L44" s="1"/>
      <c r="M44" s="1"/>
      <c r="N44" s="1"/>
      <c r="O44" s="1"/>
      <c r="P44" s="1"/>
      <c r="Q44" s="1"/>
      <c r="R44" s="1"/>
      <c r="Y44" s="1"/>
      <c r="Z44" s="1"/>
    </row>
    <row r="45" spans="1:26">
      <c r="A45" s="26" t="s">
        <v>416</v>
      </c>
      <c r="K45" s="1"/>
      <c r="L45" s="1"/>
      <c r="M45" s="1"/>
      <c r="N45" s="1"/>
      <c r="O45" s="1"/>
      <c r="P45" s="1"/>
      <c r="Q45" s="1"/>
      <c r="R45" s="1"/>
      <c r="Y45" s="1"/>
      <c r="Z45" s="1"/>
    </row>
    <row r="46" spans="1:26">
      <c r="Y46" s="1"/>
      <c r="Z46" s="1"/>
    </row>
    <row r="47" spans="1:26">
      <c r="Y47" s="1"/>
      <c r="Z47" s="1"/>
    </row>
  </sheetData>
  <mergeCells count="4">
    <mergeCell ref="D1:J1"/>
    <mergeCell ref="L1:P1"/>
    <mergeCell ref="T1:Z1"/>
    <mergeCell ref="AB1:AD1"/>
  </mergeCells>
  <phoneticPr fontId="5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Scenario 1</vt:lpstr>
      <vt:lpstr>Scenario 2&amp;3</vt:lpstr>
      <vt:lpstr>Results graph</vt:lpstr>
      <vt:lpstr> labor costs</vt:lpstr>
      <vt:lpstr>equipment costs</vt:lpstr>
      <vt:lpstr>consumable costs</vt:lpstr>
      <vt:lpstr>indirect costs</vt:lpstr>
      <vt:lpstr>Remuneration scales for staff</vt:lpstr>
      <vt:lpstr>Unit price of consumables</vt:lpstr>
      <vt:lpstr>Questionnaire Chief of Nephrol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 Wendi</dc:creator>
  <cp:lastModifiedBy>Wendi Cheng</cp:lastModifiedBy>
  <dcterms:created xsi:type="dcterms:W3CDTF">2022-11-27T10:17:00Z</dcterms:created>
  <dcterms:modified xsi:type="dcterms:W3CDTF">2025-01-13T04:45:36Z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3A2866F1D56D2DD9189E766701AAEE3E_42</vt:lpwstr>
  </property>
</Properties>
</file>