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D:\Science\2023 MARHYS Database 3.0\MARHYS_ 3_0 MatlabCalculateFluxes\Output\"/>
    </mc:Choice>
  </mc:AlternateContent>
  <xr:revisionPtr revIDLastSave="0" documentId="13_ncr:1_{647D4C7F-9C8B-4100-B97E-65ED1443F277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Power Magmatic" sheetId="1" r:id="rId1"/>
    <sheet name="Cp_Rocks" sheetId="6" r:id="rId2"/>
    <sheet name="PowerConductive" sheetId="8" r:id="rId3"/>
    <sheet name="Power Remaining" sheetId="2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" i="1" l="1"/>
  <c r="AK47" i="2" l="1"/>
  <c r="H47" i="2"/>
  <c r="V47" i="2"/>
  <c r="H40" i="1" l="1"/>
  <c r="G40" i="1"/>
  <c r="F40" i="1"/>
  <c r="E40" i="1"/>
  <c r="F23" i="1"/>
  <c r="F19" i="1"/>
  <c r="E15" i="1" l="1"/>
  <c r="F15" i="1"/>
  <c r="G15" i="1"/>
  <c r="H15" i="1"/>
  <c r="AJ36" i="6"/>
  <c r="E19" i="1"/>
  <c r="E23" i="1" s="1"/>
  <c r="E27" i="1" l="1"/>
  <c r="E17" i="1"/>
  <c r="E21" i="1"/>
  <c r="E25" i="1" s="1"/>
  <c r="E30" i="1" s="1"/>
  <c r="H35" i="1" l="1"/>
  <c r="G35" i="1"/>
  <c r="F35" i="1"/>
  <c r="E35" i="1"/>
  <c r="G141" i="8"/>
  <c r="G140" i="8"/>
  <c r="G139" i="8"/>
  <c r="G138" i="8"/>
  <c r="G137" i="8"/>
  <c r="G136" i="8"/>
  <c r="G135" i="8"/>
  <c r="G134" i="8"/>
  <c r="G133" i="8"/>
  <c r="G132" i="8"/>
  <c r="G131" i="8"/>
  <c r="G130" i="8"/>
  <c r="G129" i="8"/>
  <c r="G128" i="8"/>
  <c r="G127" i="8"/>
  <c r="G126" i="8"/>
  <c r="G125" i="8"/>
  <c r="G124" i="8"/>
  <c r="G123" i="8"/>
  <c r="G122" i="8"/>
  <c r="G121" i="8"/>
  <c r="G120" i="8"/>
  <c r="G119" i="8"/>
  <c r="G118" i="8"/>
  <c r="G117" i="8"/>
  <c r="G116" i="8"/>
  <c r="G115" i="8"/>
  <c r="G114" i="8"/>
  <c r="G113" i="8"/>
  <c r="G112" i="8"/>
  <c r="G111" i="8"/>
  <c r="G110" i="8"/>
  <c r="G109" i="8"/>
  <c r="G108" i="8"/>
  <c r="R107" i="8"/>
  <c r="Q107" i="8"/>
  <c r="L107" i="8"/>
  <c r="G107" i="8"/>
  <c r="Q106" i="8"/>
  <c r="R106" i="8" s="1"/>
  <c r="L106" i="8"/>
  <c r="G106" i="8"/>
  <c r="Q105" i="8"/>
  <c r="L105" i="8"/>
  <c r="G105" i="8"/>
  <c r="R104" i="8"/>
  <c r="Q104" i="8"/>
  <c r="L104" i="8"/>
  <c r="G104" i="8"/>
  <c r="Q103" i="8"/>
  <c r="R103" i="8" s="1"/>
  <c r="L103" i="8"/>
  <c r="G103" i="8"/>
  <c r="Q102" i="8"/>
  <c r="L102" i="8"/>
  <c r="G102" i="8"/>
  <c r="R101" i="8"/>
  <c r="Q101" i="8"/>
  <c r="L101" i="8"/>
  <c r="G101" i="8"/>
  <c r="Q100" i="8"/>
  <c r="R100" i="8" s="1"/>
  <c r="L100" i="8"/>
  <c r="G100" i="8"/>
  <c r="Q99" i="8"/>
  <c r="L99" i="8"/>
  <c r="G99" i="8"/>
  <c r="R98" i="8"/>
  <c r="Q98" i="8"/>
  <c r="L98" i="8"/>
  <c r="G98" i="8"/>
  <c r="Q97" i="8"/>
  <c r="R97" i="8" s="1"/>
  <c r="L97" i="8"/>
  <c r="G97" i="8"/>
  <c r="Q96" i="8"/>
  <c r="L96" i="8"/>
  <c r="G96" i="8"/>
  <c r="R95" i="8"/>
  <c r="Q95" i="8"/>
  <c r="L95" i="8"/>
  <c r="G95" i="8"/>
  <c r="Q94" i="8"/>
  <c r="R94" i="8" s="1"/>
  <c r="L94" i="8"/>
  <c r="G94" i="8"/>
  <c r="Q93" i="8"/>
  <c r="L93" i="8"/>
  <c r="G93" i="8"/>
  <c r="R92" i="8"/>
  <c r="Q92" i="8"/>
  <c r="L92" i="8"/>
  <c r="G92" i="8"/>
  <c r="Q91" i="8"/>
  <c r="R91" i="8" s="1"/>
  <c r="L91" i="8"/>
  <c r="G91" i="8"/>
  <c r="Q90" i="8"/>
  <c r="L90" i="8"/>
  <c r="G90" i="8"/>
  <c r="R89" i="8"/>
  <c r="Q89" i="8"/>
  <c r="L89" i="8"/>
  <c r="G89" i="8"/>
  <c r="Q88" i="8"/>
  <c r="R88" i="8" s="1"/>
  <c r="S88" i="8" s="1"/>
  <c r="S89" i="8" s="1"/>
  <c r="L88" i="8"/>
  <c r="G88" i="8"/>
  <c r="G87" i="8"/>
  <c r="G86" i="8"/>
  <c r="G85" i="8"/>
  <c r="G84" i="8"/>
  <c r="G83" i="8"/>
  <c r="G82" i="8"/>
  <c r="R81" i="8"/>
  <c r="Q81" i="8"/>
  <c r="L81" i="8"/>
  <c r="G81" i="8"/>
  <c r="Q80" i="8"/>
  <c r="R80" i="8" s="1"/>
  <c r="L80" i="8"/>
  <c r="G80" i="8"/>
  <c r="Q79" i="8"/>
  <c r="L79" i="8"/>
  <c r="G79" i="8"/>
  <c r="R78" i="8"/>
  <c r="Q78" i="8"/>
  <c r="L78" i="8"/>
  <c r="G78" i="8"/>
  <c r="Q77" i="8"/>
  <c r="R77" i="8" s="1"/>
  <c r="L77" i="8"/>
  <c r="G77" i="8"/>
  <c r="Q76" i="8"/>
  <c r="L76" i="8"/>
  <c r="G76" i="8"/>
  <c r="R75" i="8"/>
  <c r="Q75" i="8"/>
  <c r="L75" i="8"/>
  <c r="G75" i="8"/>
  <c r="Q74" i="8"/>
  <c r="R74" i="8" s="1"/>
  <c r="L74" i="8"/>
  <c r="G74" i="8"/>
  <c r="Q73" i="8"/>
  <c r="L73" i="8"/>
  <c r="G73" i="8"/>
  <c r="R72" i="8"/>
  <c r="Q72" i="8"/>
  <c r="L72" i="8"/>
  <c r="G72" i="8"/>
  <c r="Q71" i="8"/>
  <c r="R71" i="8" s="1"/>
  <c r="L71" i="8"/>
  <c r="G71" i="8"/>
  <c r="Q70" i="8"/>
  <c r="L70" i="8"/>
  <c r="G70" i="8"/>
  <c r="R69" i="8"/>
  <c r="Q69" i="8"/>
  <c r="L69" i="8"/>
  <c r="G69" i="8"/>
  <c r="Q68" i="8"/>
  <c r="R68" i="8" s="1"/>
  <c r="L68" i="8"/>
  <c r="G68" i="8"/>
  <c r="Q67" i="8"/>
  <c r="L67" i="8"/>
  <c r="G67" i="8"/>
  <c r="R66" i="8"/>
  <c r="Q66" i="8"/>
  <c r="L66" i="8"/>
  <c r="G66" i="8"/>
  <c r="Q65" i="8"/>
  <c r="R65" i="8" s="1"/>
  <c r="L65" i="8"/>
  <c r="G65" i="8"/>
  <c r="Q64" i="8"/>
  <c r="L64" i="8"/>
  <c r="G64" i="8"/>
  <c r="R63" i="8"/>
  <c r="Q63" i="8"/>
  <c r="L63" i="8"/>
  <c r="G63" i="8"/>
  <c r="Q62" i="8"/>
  <c r="R62" i="8" s="1"/>
  <c r="S62" i="8" s="1"/>
  <c r="S63" i="8" s="1"/>
  <c r="L62" i="8"/>
  <c r="G62" i="8"/>
  <c r="G61" i="8"/>
  <c r="G60" i="8"/>
  <c r="G59" i="8"/>
  <c r="G58" i="8"/>
  <c r="G57" i="8"/>
  <c r="G56" i="8"/>
  <c r="R55" i="8"/>
  <c r="Q55" i="8"/>
  <c r="L55" i="8"/>
  <c r="G55" i="8"/>
  <c r="Q54" i="8"/>
  <c r="R54" i="8" s="1"/>
  <c r="L54" i="8"/>
  <c r="G54" i="8"/>
  <c r="Q53" i="8"/>
  <c r="L53" i="8"/>
  <c r="G53" i="8"/>
  <c r="R52" i="8"/>
  <c r="Q52" i="8"/>
  <c r="L52" i="8"/>
  <c r="G52" i="8"/>
  <c r="Q51" i="8"/>
  <c r="R51" i="8" s="1"/>
  <c r="L51" i="8"/>
  <c r="G51" i="8"/>
  <c r="Q50" i="8"/>
  <c r="L50" i="8"/>
  <c r="G50" i="8"/>
  <c r="R49" i="8"/>
  <c r="Q49" i="8"/>
  <c r="L49" i="8"/>
  <c r="G49" i="8"/>
  <c r="Q48" i="8"/>
  <c r="R48" i="8" s="1"/>
  <c r="L48" i="8"/>
  <c r="G48" i="8"/>
  <c r="Q47" i="8"/>
  <c r="L47" i="8"/>
  <c r="G47" i="8"/>
  <c r="R46" i="8"/>
  <c r="Q46" i="8"/>
  <c r="L46" i="8"/>
  <c r="G46" i="8"/>
  <c r="Q45" i="8"/>
  <c r="R45" i="8" s="1"/>
  <c r="L45" i="8"/>
  <c r="G45" i="8"/>
  <c r="Q44" i="8"/>
  <c r="L44" i="8"/>
  <c r="G44" i="8"/>
  <c r="R43" i="8"/>
  <c r="Q43" i="8"/>
  <c r="L43" i="8"/>
  <c r="G43" i="8"/>
  <c r="Q42" i="8"/>
  <c r="R42" i="8" s="1"/>
  <c r="L42" i="8"/>
  <c r="G42" i="8"/>
  <c r="Q41" i="8"/>
  <c r="L41" i="8"/>
  <c r="G41" i="8"/>
  <c r="R40" i="8"/>
  <c r="Q40" i="8"/>
  <c r="L40" i="8"/>
  <c r="G40" i="8"/>
  <c r="Q39" i="8"/>
  <c r="R39" i="8" s="1"/>
  <c r="L39" i="8"/>
  <c r="G39" i="8"/>
  <c r="Q38" i="8"/>
  <c r="L38" i="8"/>
  <c r="G38" i="8"/>
  <c r="R37" i="8"/>
  <c r="Q37" i="8"/>
  <c r="L37" i="8"/>
  <c r="G37" i="8"/>
  <c r="Q36" i="8"/>
  <c r="G36" i="8"/>
  <c r="G35" i="8"/>
  <c r="G34" i="8"/>
  <c r="G33" i="8"/>
  <c r="G32" i="8"/>
  <c r="G31" i="8"/>
  <c r="G30" i="8"/>
  <c r="R29" i="8"/>
  <c r="Q29" i="8"/>
  <c r="L29" i="8"/>
  <c r="H29" i="8"/>
  <c r="G29" i="8"/>
  <c r="I29" i="8" s="1"/>
  <c r="Q28" i="8"/>
  <c r="R28" i="8" s="1"/>
  <c r="L28" i="8"/>
  <c r="H28" i="8"/>
  <c r="G28" i="8"/>
  <c r="I28" i="8" s="1"/>
  <c r="Q27" i="8"/>
  <c r="I27" i="8"/>
  <c r="M27" i="8" s="1"/>
  <c r="H27" i="8"/>
  <c r="L27" i="8" s="1"/>
  <c r="G27" i="8"/>
  <c r="Q26" i="8"/>
  <c r="H26" i="8"/>
  <c r="L26" i="8" s="1"/>
  <c r="G26" i="8"/>
  <c r="I26" i="8" s="1"/>
  <c r="Q25" i="8"/>
  <c r="L25" i="8"/>
  <c r="H25" i="8"/>
  <c r="G25" i="8"/>
  <c r="I25" i="8" s="1"/>
  <c r="Q24" i="8"/>
  <c r="R24" i="8" s="1"/>
  <c r="H24" i="8"/>
  <c r="L24" i="8" s="1"/>
  <c r="G24" i="8"/>
  <c r="R23" i="8"/>
  <c r="Q23" i="8"/>
  <c r="L23" i="8"/>
  <c r="H23" i="8"/>
  <c r="G23" i="8"/>
  <c r="I23" i="8" s="1"/>
  <c r="Q22" i="8"/>
  <c r="R22" i="8" s="1"/>
  <c r="L22" i="8"/>
  <c r="H22" i="8"/>
  <c r="G22" i="8"/>
  <c r="I22" i="8" s="1"/>
  <c r="Q21" i="8"/>
  <c r="T21" i="8" s="1"/>
  <c r="I21" i="8"/>
  <c r="M21" i="8" s="1"/>
  <c r="H21" i="8"/>
  <c r="L21" i="8" s="1"/>
  <c r="G21" i="8"/>
  <c r="Q20" i="8"/>
  <c r="L20" i="8"/>
  <c r="H20" i="8"/>
  <c r="G20" i="8"/>
  <c r="I20" i="8" s="1"/>
  <c r="Q19" i="8"/>
  <c r="L19" i="8"/>
  <c r="H19" i="8"/>
  <c r="G19" i="8"/>
  <c r="I19" i="8" s="1"/>
  <c r="Q18" i="8"/>
  <c r="R18" i="8" s="1"/>
  <c r="H18" i="8"/>
  <c r="L18" i="8" s="1"/>
  <c r="G18" i="8"/>
  <c r="R17" i="8"/>
  <c r="Q17" i="8"/>
  <c r="L17" i="8"/>
  <c r="H17" i="8"/>
  <c r="G17" i="8"/>
  <c r="I17" i="8" s="1"/>
  <c r="Q16" i="8"/>
  <c r="R16" i="8" s="1"/>
  <c r="L16" i="8"/>
  <c r="H16" i="8"/>
  <c r="G16" i="8"/>
  <c r="I16" i="8" s="1"/>
  <c r="Q15" i="8"/>
  <c r="T15" i="8" s="1"/>
  <c r="I15" i="8"/>
  <c r="M15" i="8" s="1"/>
  <c r="H15" i="8"/>
  <c r="L15" i="8" s="1"/>
  <c r="G15" i="8"/>
  <c r="Q14" i="8"/>
  <c r="L14" i="8"/>
  <c r="H14" i="8"/>
  <c r="G14" i="8"/>
  <c r="I14" i="8" s="1"/>
  <c r="Q13" i="8"/>
  <c r="L13" i="8"/>
  <c r="H13" i="8"/>
  <c r="G13" i="8"/>
  <c r="I13" i="8" s="1"/>
  <c r="Q12" i="8"/>
  <c r="R12" i="8" s="1"/>
  <c r="H12" i="8"/>
  <c r="L12" i="8" s="1"/>
  <c r="G12" i="8"/>
  <c r="R11" i="8"/>
  <c r="Q11" i="8"/>
  <c r="L11" i="8"/>
  <c r="H11" i="8"/>
  <c r="G11" i="8"/>
  <c r="I11" i="8" s="1"/>
  <c r="Q10" i="8"/>
  <c r="R10" i="8" s="1"/>
  <c r="S10" i="8" s="1"/>
  <c r="S11" i="8" s="1"/>
  <c r="L10" i="8"/>
  <c r="H10" i="8"/>
  <c r="L36" i="8" s="1"/>
  <c r="G10" i="8"/>
  <c r="I10" i="8" s="1"/>
  <c r="T26" i="8" l="1"/>
  <c r="T37" i="8"/>
  <c r="T92" i="8"/>
  <c r="T99" i="8"/>
  <c r="T20" i="8"/>
  <c r="T29" i="8"/>
  <c r="T67" i="8"/>
  <c r="T27" i="8"/>
  <c r="T93" i="8"/>
  <c r="M106" i="8"/>
  <c r="T106" i="8" s="1"/>
  <c r="M80" i="8"/>
  <c r="T80" i="8" s="1"/>
  <c r="M54" i="8"/>
  <c r="T54" i="8" s="1"/>
  <c r="M28" i="8"/>
  <c r="M97" i="8"/>
  <c r="T97" i="8" s="1"/>
  <c r="M71" i="8"/>
  <c r="T71" i="8" s="1"/>
  <c r="M45" i="8"/>
  <c r="T45" i="8" s="1"/>
  <c r="M19" i="8"/>
  <c r="T19" i="8" s="1"/>
  <c r="T75" i="8"/>
  <c r="M88" i="8"/>
  <c r="T88" i="8" s="1"/>
  <c r="U88" i="8" s="1"/>
  <c r="M62" i="8"/>
  <c r="T62" i="8" s="1"/>
  <c r="U62" i="8" s="1"/>
  <c r="M36" i="8"/>
  <c r="M10" i="8"/>
  <c r="T10" i="8" s="1"/>
  <c r="U10" i="8" s="1"/>
  <c r="U11" i="8" s="1"/>
  <c r="M94" i="8"/>
  <c r="T94" i="8" s="1"/>
  <c r="M68" i="8"/>
  <c r="T68" i="8" s="1"/>
  <c r="M42" i="8"/>
  <c r="T42" i="8" s="1"/>
  <c r="M16" i="8"/>
  <c r="M103" i="8"/>
  <c r="T103" i="8" s="1"/>
  <c r="M77" i="8"/>
  <c r="T77" i="8" s="1"/>
  <c r="M51" i="8"/>
  <c r="T51" i="8" s="1"/>
  <c r="M25" i="8"/>
  <c r="T25" i="8" s="1"/>
  <c r="T46" i="8"/>
  <c r="T101" i="8"/>
  <c r="T79" i="8"/>
  <c r="M91" i="8"/>
  <c r="T91" i="8" s="1"/>
  <c r="M65" i="8"/>
  <c r="T65" i="8" s="1"/>
  <c r="M39" i="8"/>
  <c r="T39" i="8" s="1"/>
  <c r="M13" i="8"/>
  <c r="M100" i="8"/>
  <c r="T100" i="8" s="1"/>
  <c r="M74" i="8"/>
  <c r="T74" i="8" s="1"/>
  <c r="M48" i="8"/>
  <c r="T48" i="8" s="1"/>
  <c r="M22" i="8"/>
  <c r="S12" i="8"/>
  <c r="T13" i="8"/>
  <c r="M107" i="8"/>
  <c r="T107" i="8" s="1"/>
  <c r="M81" i="8"/>
  <c r="T81" i="8" s="1"/>
  <c r="M55" i="8"/>
  <c r="T55" i="8" s="1"/>
  <c r="M29" i="8"/>
  <c r="T36" i="8"/>
  <c r="U36" i="8" s="1"/>
  <c r="T69" i="8"/>
  <c r="M89" i="8"/>
  <c r="T89" i="8" s="1"/>
  <c r="M63" i="8"/>
  <c r="T63" i="8" s="1"/>
  <c r="M37" i="8"/>
  <c r="M11" i="8"/>
  <c r="T11" i="8" s="1"/>
  <c r="M92" i="8"/>
  <c r="M66" i="8"/>
  <c r="M40" i="8"/>
  <c r="T40" i="8" s="1"/>
  <c r="M14" i="8"/>
  <c r="T14" i="8" s="1"/>
  <c r="M95" i="8"/>
  <c r="M69" i="8"/>
  <c r="M43" i="8"/>
  <c r="T43" i="8" s="1"/>
  <c r="M17" i="8"/>
  <c r="T17" i="8" s="1"/>
  <c r="M98" i="8"/>
  <c r="T98" i="8" s="1"/>
  <c r="M72" i="8"/>
  <c r="T72" i="8" s="1"/>
  <c r="M46" i="8"/>
  <c r="M20" i="8"/>
  <c r="M101" i="8"/>
  <c r="M75" i="8"/>
  <c r="M49" i="8"/>
  <c r="T49" i="8" s="1"/>
  <c r="M23" i="8"/>
  <c r="T23" i="8" s="1"/>
  <c r="M104" i="8"/>
  <c r="T104" i="8" s="1"/>
  <c r="M78" i="8"/>
  <c r="T78" i="8" s="1"/>
  <c r="M52" i="8"/>
  <c r="T52" i="8" s="1"/>
  <c r="M26" i="8"/>
  <c r="T47" i="8"/>
  <c r="S64" i="8"/>
  <c r="S65" i="8" s="1"/>
  <c r="S66" i="8" s="1"/>
  <c r="S67" i="8" s="1"/>
  <c r="S68" i="8" s="1"/>
  <c r="S69" i="8" s="1"/>
  <c r="T95" i="8"/>
  <c r="T66" i="8"/>
  <c r="T73" i="8"/>
  <c r="R15" i="8"/>
  <c r="T16" i="8"/>
  <c r="R21" i="8"/>
  <c r="T22" i="8"/>
  <c r="R27" i="8"/>
  <c r="T28" i="8"/>
  <c r="R36" i="8"/>
  <c r="S36" i="8" s="1"/>
  <c r="S37" i="8" s="1"/>
  <c r="I12" i="8"/>
  <c r="R14" i="8"/>
  <c r="I18" i="8"/>
  <c r="R20" i="8"/>
  <c r="I24" i="8"/>
  <c r="R26" i="8"/>
  <c r="M41" i="8"/>
  <c r="T41" i="8" s="1"/>
  <c r="M47" i="8"/>
  <c r="M53" i="8"/>
  <c r="T53" i="8" s="1"/>
  <c r="M67" i="8"/>
  <c r="M73" i="8"/>
  <c r="M79" i="8"/>
  <c r="M93" i="8"/>
  <c r="M99" i="8"/>
  <c r="M105" i="8"/>
  <c r="T105" i="8" s="1"/>
  <c r="R13" i="8"/>
  <c r="R19" i="8"/>
  <c r="R25" i="8"/>
  <c r="R38" i="8"/>
  <c r="R41" i="8"/>
  <c r="R44" i="8"/>
  <c r="R47" i="8"/>
  <c r="R50" i="8"/>
  <c r="R53" i="8"/>
  <c r="R64" i="8"/>
  <c r="R67" i="8"/>
  <c r="R70" i="8"/>
  <c r="R73" i="8"/>
  <c r="R76" i="8"/>
  <c r="R79" i="8"/>
  <c r="R90" i="8"/>
  <c r="S90" i="8" s="1"/>
  <c r="S91" i="8" s="1"/>
  <c r="S92" i="8" s="1"/>
  <c r="S93" i="8" s="1"/>
  <c r="S94" i="8" s="1"/>
  <c r="S95" i="8" s="1"/>
  <c r="S96" i="8" s="1"/>
  <c r="S97" i="8" s="1"/>
  <c r="R93" i="8"/>
  <c r="R96" i="8"/>
  <c r="R99" i="8"/>
  <c r="R102" i="8"/>
  <c r="R105" i="8"/>
  <c r="U12" i="8" l="1"/>
  <c r="U13" i="8" s="1"/>
  <c r="U14" i="8" s="1"/>
  <c r="U15" i="8" s="1"/>
  <c r="U16" i="8" s="1"/>
  <c r="U17" i="8" s="1"/>
  <c r="U18" i="8" s="1"/>
  <c r="U19" i="8" s="1"/>
  <c r="S98" i="8"/>
  <c r="S99" i="8" s="1"/>
  <c r="S100" i="8" s="1"/>
  <c r="S101" i="8" s="1"/>
  <c r="S102" i="8" s="1"/>
  <c r="S103" i="8" s="1"/>
  <c r="S104" i="8" s="1"/>
  <c r="S105" i="8" s="1"/>
  <c r="S106" i="8" s="1"/>
  <c r="S107" i="8" s="1"/>
  <c r="R109" i="8"/>
  <c r="M12" i="8"/>
  <c r="T12" i="8" s="1"/>
  <c r="M90" i="8"/>
  <c r="T90" i="8" s="1"/>
  <c r="M64" i="8"/>
  <c r="T64" i="8" s="1"/>
  <c r="M38" i="8"/>
  <c r="T38" i="8" s="1"/>
  <c r="U89" i="8"/>
  <c r="U90" i="8" s="1"/>
  <c r="U91" i="8" s="1"/>
  <c r="U92" i="8" s="1"/>
  <c r="U93" i="8" s="1"/>
  <c r="U94" i="8" s="1"/>
  <c r="U95" i="8" s="1"/>
  <c r="M18" i="8"/>
  <c r="T18" i="8" s="1"/>
  <c r="M96" i="8"/>
  <c r="T96" i="8" s="1"/>
  <c r="M70" i="8"/>
  <c r="T70" i="8" s="1"/>
  <c r="M44" i="8"/>
  <c r="T44" i="8" s="1"/>
  <c r="S38" i="8"/>
  <c r="S39" i="8" s="1"/>
  <c r="S40" i="8" s="1"/>
  <c r="S41" i="8" s="1"/>
  <c r="S42" i="8" s="1"/>
  <c r="S43" i="8" s="1"/>
  <c r="S44" i="8" s="1"/>
  <c r="S45" i="8" s="1"/>
  <c r="S70" i="8"/>
  <c r="S71" i="8" s="1"/>
  <c r="S13" i="8"/>
  <c r="S14" i="8" s="1"/>
  <c r="S15" i="8" s="1"/>
  <c r="S16" i="8" s="1"/>
  <c r="S17" i="8" s="1"/>
  <c r="S18" i="8" s="1"/>
  <c r="S19" i="8" s="1"/>
  <c r="U37" i="8"/>
  <c r="M24" i="8"/>
  <c r="T24" i="8" s="1"/>
  <c r="M102" i="8"/>
  <c r="T102" i="8" s="1"/>
  <c r="M76" i="8"/>
  <c r="T76" i="8" s="1"/>
  <c r="M50" i="8"/>
  <c r="T50" i="8" s="1"/>
  <c r="U63" i="8"/>
  <c r="U64" i="8" s="1"/>
  <c r="U65" i="8" s="1"/>
  <c r="U66" i="8" s="1"/>
  <c r="U67" i="8" s="1"/>
  <c r="U68" i="8" s="1"/>
  <c r="U69" i="8" s="1"/>
  <c r="U70" i="8" s="1"/>
  <c r="U71" i="8" s="1"/>
  <c r="S46" i="8" l="1"/>
  <c r="S47" i="8" s="1"/>
  <c r="S48" i="8" s="1"/>
  <c r="S49" i="8" s="1"/>
  <c r="S50" i="8" s="1"/>
  <c r="S51" i="8" s="1"/>
  <c r="S52" i="8" s="1"/>
  <c r="S53" i="8" s="1"/>
  <c r="S54" i="8" s="1"/>
  <c r="S55" i="8" s="1"/>
  <c r="R57" i="8"/>
  <c r="U20" i="8"/>
  <c r="U21" i="8" s="1"/>
  <c r="U22" i="8" s="1"/>
  <c r="U23" i="8" s="1"/>
  <c r="U24" i="8" s="1"/>
  <c r="U25" i="8" s="1"/>
  <c r="U26" i="8" s="1"/>
  <c r="U27" i="8" s="1"/>
  <c r="U28" i="8" s="1"/>
  <c r="U29" i="8" s="1"/>
  <c r="U31" i="8"/>
  <c r="S72" i="8"/>
  <c r="S73" i="8" s="1"/>
  <c r="S74" i="8" s="1"/>
  <c r="S75" i="8" s="1"/>
  <c r="S76" i="8" s="1"/>
  <c r="S77" i="8" s="1"/>
  <c r="S78" i="8" s="1"/>
  <c r="S79" i="8" s="1"/>
  <c r="S80" i="8" s="1"/>
  <c r="S81" i="8" s="1"/>
  <c r="R83" i="8"/>
  <c r="U72" i="8"/>
  <c r="U73" i="8" s="1"/>
  <c r="U74" i="8" s="1"/>
  <c r="U75" i="8" s="1"/>
  <c r="U76" i="8" s="1"/>
  <c r="U77" i="8" s="1"/>
  <c r="U78" i="8" s="1"/>
  <c r="U79" i="8" s="1"/>
  <c r="U80" i="8" s="1"/>
  <c r="U81" i="8" s="1"/>
  <c r="U83" i="8"/>
  <c r="U96" i="8"/>
  <c r="U97" i="8" s="1"/>
  <c r="U38" i="8"/>
  <c r="U39" i="8" s="1"/>
  <c r="U40" i="8" s="1"/>
  <c r="U41" i="8" s="1"/>
  <c r="U42" i="8" s="1"/>
  <c r="U43" i="8" s="1"/>
  <c r="U44" i="8" s="1"/>
  <c r="U45" i="8" s="1"/>
  <c r="S20" i="8"/>
  <c r="S21" i="8" s="1"/>
  <c r="S22" i="8" s="1"/>
  <c r="S23" i="8" s="1"/>
  <c r="S24" i="8" s="1"/>
  <c r="S25" i="8" s="1"/>
  <c r="S26" i="8" s="1"/>
  <c r="S27" i="8" s="1"/>
  <c r="S28" i="8" s="1"/>
  <c r="S29" i="8" s="1"/>
  <c r="R31" i="8"/>
  <c r="U46" i="8" l="1"/>
  <c r="U47" i="8" s="1"/>
  <c r="U48" i="8" s="1"/>
  <c r="U49" i="8" s="1"/>
  <c r="U50" i="8" s="1"/>
  <c r="U51" i="8" s="1"/>
  <c r="U52" i="8" s="1"/>
  <c r="U53" i="8" s="1"/>
  <c r="U54" i="8" s="1"/>
  <c r="U55" i="8" s="1"/>
  <c r="U57" i="8"/>
  <c r="U98" i="8"/>
  <c r="U99" i="8" s="1"/>
  <c r="U100" i="8" s="1"/>
  <c r="U101" i="8" s="1"/>
  <c r="U102" i="8" s="1"/>
  <c r="U103" i="8" s="1"/>
  <c r="U104" i="8" s="1"/>
  <c r="U105" i="8" s="1"/>
  <c r="U106" i="8" s="1"/>
  <c r="U107" i="8" s="1"/>
  <c r="U109" i="8"/>
  <c r="H36" i="1"/>
  <c r="G36" i="1"/>
  <c r="F36" i="1"/>
  <c r="E36" i="1"/>
  <c r="AV6" i="2"/>
  <c r="AV7" i="2"/>
  <c r="AV8" i="2"/>
  <c r="AV9" i="2"/>
  <c r="AV10" i="2"/>
  <c r="AV11" i="2"/>
  <c r="AV12" i="2"/>
  <c r="AV13" i="2"/>
  <c r="AV14" i="2"/>
  <c r="AV15" i="2"/>
  <c r="AV16" i="2"/>
  <c r="AV17" i="2"/>
  <c r="AV18" i="2"/>
  <c r="AV19" i="2"/>
  <c r="AV20" i="2"/>
  <c r="AV21" i="2"/>
  <c r="AV22" i="2"/>
  <c r="AV23" i="2"/>
  <c r="AV24" i="2"/>
  <c r="AV25" i="2"/>
  <c r="AV26" i="2"/>
  <c r="AV27" i="2"/>
  <c r="AV28" i="2"/>
  <c r="AV29" i="2"/>
  <c r="AV30" i="2"/>
  <c r="AV31" i="2"/>
  <c r="AV32" i="2"/>
  <c r="AV33" i="2"/>
  <c r="AV34" i="2"/>
  <c r="AV35" i="2"/>
  <c r="AV36" i="2"/>
  <c r="AV37" i="2"/>
  <c r="AV38" i="2"/>
  <c r="AV39" i="2"/>
  <c r="AV40" i="2"/>
  <c r="AV41" i="2"/>
  <c r="AV42" i="2"/>
  <c r="AV43" i="2"/>
  <c r="AV44" i="2"/>
  <c r="AV45" i="2"/>
  <c r="AV5" i="2"/>
  <c r="AH5" i="2"/>
  <c r="AG4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3" i="2"/>
  <c r="AH34" i="2"/>
  <c r="AH35" i="2"/>
  <c r="AH36" i="2"/>
  <c r="AH37" i="2"/>
  <c r="AH38" i="2"/>
  <c r="AH39" i="2"/>
  <c r="AH40" i="2"/>
  <c r="AH41" i="2"/>
  <c r="AH42" i="2"/>
  <c r="AH43" i="2"/>
  <c r="AH44" i="2"/>
  <c r="AH45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E5" i="2"/>
  <c r="R45" i="2"/>
  <c r="D45" i="2"/>
  <c r="H43" i="1"/>
  <c r="F43" i="1"/>
  <c r="G43" i="1"/>
  <c r="E43" i="1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P36" i="6"/>
  <c r="AF22" i="6"/>
  <c r="AF23" i="6"/>
  <c r="AF24" i="6"/>
  <c r="AF25" i="6"/>
  <c r="AF26" i="6"/>
  <c r="AF27" i="6"/>
  <c r="AF28" i="6"/>
  <c r="AF29" i="6"/>
  <c r="AF30" i="6"/>
  <c r="AF31" i="6"/>
  <c r="AF32" i="6"/>
  <c r="AF33" i="6"/>
  <c r="AF34" i="6"/>
  <c r="AF35" i="6"/>
  <c r="AF36" i="6"/>
  <c r="AF37" i="6"/>
  <c r="AF38" i="6"/>
  <c r="AF39" i="6"/>
  <c r="AF40" i="6"/>
  <c r="AF41" i="6"/>
  <c r="AF42" i="6"/>
  <c r="AF43" i="6"/>
  <c r="AF44" i="6"/>
  <c r="AF45" i="6"/>
  <c r="AF46" i="6"/>
  <c r="AF47" i="6"/>
  <c r="AF48" i="6"/>
  <c r="E22" i="6"/>
  <c r="AM12" i="6"/>
  <c r="AM14" i="6"/>
  <c r="AM16" i="6"/>
  <c r="AJ19" i="6"/>
  <c r="W22" i="6"/>
  <c r="Y22" i="6"/>
  <c r="Z22" i="6"/>
  <c r="AA22" i="6"/>
  <c r="AB22" i="6"/>
  <c r="AC22" i="6"/>
  <c r="X23" i="6"/>
  <c r="W23" i="6" s="1"/>
  <c r="S12" i="6"/>
  <c r="S14" i="6"/>
  <c r="S16" i="6"/>
  <c r="S17" i="6"/>
  <c r="P19" i="6"/>
  <c r="C22" i="6"/>
  <c r="F22" i="6"/>
  <c r="G22" i="6"/>
  <c r="H22" i="6"/>
  <c r="I22" i="6"/>
  <c r="J22" i="6"/>
  <c r="D23" i="6"/>
  <c r="H23" i="6" s="1"/>
  <c r="Z23" i="6" l="1"/>
  <c r="L22" i="6"/>
  <c r="Y23" i="6"/>
  <c r="E23" i="6"/>
  <c r="X24" i="6"/>
  <c r="AC23" i="6"/>
  <c r="AB23" i="6"/>
  <c r="AA23" i="6"/>
  <c r="G23" i="6"/>
  <c r="F23" i="6"/>
  <c r="C23" i="6"/>
  <c r="D24" i="6"/>
  <c r="J23" i="6"/>
  <c r="I23" i="6"/>
  <c r="Y24" i="6" l="1"/>
  <c r="Z24" i="6"/>
  <c r="AA24" i="6"/>
  <c r="W24" i="6"/>
  <c r="X25" i="6"/>
  <c r="AB24" i="6"/>
  <c r="AC24" i="6"/>
  <c r="L23" i="6"/>
  <c r="D25" i="6"/>
  <c r="C24" i="6"/>
  <c r="E24" i="6"/>
  <c r="F24" i="6"/>
  <c r="G24" i="6"/>
  <c r="H24" i="6"/>
  <c r="I24" i="6"/>
  <c r="J24" i="6"/>
  <c r="AA25" i="6" l="1"/>
  <c r="AB25" i="6"/>
  <c r="AC25" i="6"/>
  <c r="X26" i="6"/>
  <c r="W25" i="6"/>
  <c r="Y25" i="6"/>
  <c r="Z25" i="6"/>
  <c r="L24" i="6"/>
  <c r="D26" i="6"/>
  <c r="C25" i="6"/>
  <c r="E25" i="6"/>
  <c r="F25" i="6"/>
  <c r="G25" i="6"/>
  <c r="H25" i="6"/>
  <c r="I25" i="6"/>
  <c r="J25" i="6"/>
  <c r="W26" i="6" l="1"/>
  <c r="Y26" i="6"/>
  <c r="Z26" i="6"/>
  <c r="AA26" i="6"/>
  <c r="AB26" i="6"/>
  <c r="AC26" i="6"/>
  <c r="X27" i="6"/>
  <c r="L25" i="6"/>
  <c r="E26" i="6"/>
  <c r="F26" i="6"/>
  <c r="G26" i="6"/>
  <c r="H26" i="6"/>
  <c r="I26" i="6"/>
  <c r="J26" i="6"/>
  <c r="D27" i="6"/>
  <c r="C26" i="6"/>
  <c r="X28" i="6" l="1"/>
  <c r="W27" i="6"/>
  <c r="Z27" i="6"/>
  <c r="AA27" i="6"/>
  <c r="AB27" i="6"/>
  <c r="AC27" i="6"/>
  <c r="Y27" i="6"/>
  <c r="G27" i="6"/>
  <c r="H27" i="6"/>
  <c r="I27" i="6"/>
  <c r="J27" i="6"/>
  <c r="D28" i="6"/>
  <c r="C27" i="6"/>
  <c r="E27" i="6"/>
  <c r="F27" i="6"/>
  <c r="L26" i="6"/>
  <c r="Y28" i="6" l="1"/>
  <c r="Z28" i="6"/>
  <c r="AB28" i="6"/>
  <c r="AC28" i="6"/>
  <c r="X29" i="6"/>
  <c r="W28" i="6"/>
  <c r="AA28" i="6"/>
  <c r="L27" i="6"/>
  <c r="J28" i="6"/>
  <c r="D29" i="6"/>
  <c r="C28" i="6"/>
  <c r="E28" i="6"/>
  <c r="F28" i="6"/>
  <c r="G28" i="6"/>
  <c r="H28" i="6"/>
  <c r="I28" i="6"/>
  <c r="AJ28" i="6" l="1"/>
  <c r="AA29" i="6"/>
  <c r="AB29" i="6"/>
  <c r="AC29" i="6"/>
  <c r="X30" i="6"/>
  <c r="W29" i="6"/>
  <c r="Y29" i="6"/>
  <c r="Z29" i="6"/>
  <c r="L28" i="6"/>
  <c r="D30" i="6"/>
  <c r="C29" i="6"/>
  <c r="E29" i="6"/>
  <c r="F29" i="6"/>
  <c r="G29" i="6"/>
  <c r="H29" i="6"/>
  <c r="I29" i="6"/>
  <c r="J29" i="6"/>
  <c r="W30" i="6" l="1"/>
  <c r="Y30" i="6"/>
  <c r="AB30" i="6"/>
  <c r="Z30" i="6"/>
  <c r="AA30" i="6"/>
  <c r="AC30" i="6"/>
  <c r="X31" i="6"/>
  <c r="E30" i="6"/>
  <c r="F30" i="6"/>
  <c r="G30" i="6"/>
  <c r="H30" i="6"/>
  <c r="I30" i="6"/>
  <c r="J30" i="6"/>
  <c r="C30" i="6"/>
  <c r="D31" i="6"/>
  <c r="L29" i="6"/>
  <c r="P28" i="6"/>
  <c r="X32" i="6" l="1"/>
  <c r="Z31" i="6"/>
  <c r="AA31" i="6"/>
  <c r="AB31" i="6"/>
  <c r="AC31" i="6"/>
  <c r="W31" i="6"/>
  <c r="Y31" i="6"/>
  <c r="G31" i="6"/>
  <c r="H31" i="6"/>
  <c r="I31" i="6"/>
  <c r="D32" i="6"/>
  <c r="C31" i="6"/>
  <c r="E31" i="6"/>
  <c r="F31" i="6"/>
  <c r="J31" i="6"/>
  <c r="L30" i="6"/>
  <c r="Y32" i="6" l="1"/>
  <c r="Z32" i="6"/>
  <c r="AA32" i="6"/>
  <c r="AB32" i="6"/>
  <c r="AC32" i="6"/>
  <c r="X33" i="6"/>
  <c r="W32" i="6"/>
  <c r="L31" i="6"/>
  <c r="J32" i="6"/>
  <c r="D33" i="6"/>
  <c r="C32" i="6"/>
  <c r="E32" i="6"/>
  <c r="F32" i="6"/>
  <c r="I32" i="6"/>
  <c r="G32" i="6"/>
  <c r="H32" i="6"/>
  <c r="Z33" i="6" l="1"/>
  <c r="AA33" i="6"/>
  <c r="AB33" i="6"/>
  <c r="X34" i="6"/>
  <c r="W33" i="6"/>
  <c r="Y33" i="6"/>
  <c r="AC33" i="6"/>
  <c r="L32" i="6"/>
  <c r="D34" i="6"/>
  <c r="E33" i="6"/>
  <c r="F33" i="6"/>
  <c r="G33" i="6"/>
  <c r="C33" i="6"/>
  <c r="H33" i="6"/>
  <c r="I33" i="6"/>
  <c r="J33" i="6"/>
  <c r="AC34" i="6" l="1"/>
  <c r="X35" i="6"/>
  <c r="W34" i="6"/>
  <c r="AA34" i="6"/>
  <c r="Y34" i="6"/>
  <c r="Z34" i="6"/>
  <c r="AB34" i="6"/>
  <c r="L33" i="6"/>
  <c r="C34" i="6"/>
  <c r="E34" i="6"/>
  <c r="G34" i="6"/>
  <c r="H34" i="6"/>
  <c r="I34" i="6"/>
  <c r="J34" i="6"/>
  <c r="F34" i="6"/>
  <c r="D35" i="6"/>
  <c r="X36" i="6" l="1"/>
  <c r="W35" i="6"/>
  <c r="Y35" i="6"/>
  <c r="Z35" i="6"/>
  <c r="AA35" i="6"/>
  <c r="AB35" i="6"/>
  <c r="AC35" i="6"/>
  <c r="F35" i="6"/>
  <c r="G35" i="6"/>
  <c r="H35" i="6"/>
  <c r="J35" i="6"/>
  <c r="D36" i="6"/>
  <c r="I35" i="6"/>
  <c r="E35" i="6"/>
  <c r="C35" i="6"/>
  <c r="L34" i="6"/>
  <c r="W36" i="6" l="1"/>
  <c r="Y36" i="6"/>
  <c r="AB36" i="6"/>
  <c r="AC36" i="6"/>
  <c r="X37" i="6"/>
  <c r="Z36" i="6"/>
  <c r="AA36" i="6"/>
  <c r="L35" i="6"/>
  <c r="I36" i="6"/>
  <c r="J36" i="6"/>
  <c r="D37" i="6"/>
  <c r="C36" i="6"/>
  <c r="E36" i="6"/>
  <c r="F36" i="6"/>
  <c r="G36" i="6"/>
  <c r="H36" i="6"/>
  <c r="Z37" i="6" l="1"/>
  <c r="AA37" i="6"/>
  <c r="AC37" i="6"/>
  <c r="W37" i="6"/>
  <c r="X38" i="6"/>
  <c r="Y37" i="6"/>
  <c r="AB37" i="6"/>
  <c r="D38" i="6"/>
  <c r="E37" i="6"/>
  <c r="F37" i="6"/>
  <c r="G37" i="6"/>
  <c r="C37" i="6"/>
  <c r="H37" i="6"/>
  <c r="I37" i="6"/>
  <c r="J37" i="6"/>
  <c r="L36" i="6"/>
  <c r="AC38" i="6" l="1"/>
  <c r="W38" i="6"/>
  <c r="Z38" i="6"/>
  <c r="Y38" i="6"/>
  <c r="AA38" i="6"/>
  <c r="AB38" i="6"/>
  <c r="X39" i="6"/>
  <c r="L37" i="6"/>
  <c r="C38" i="6"/>
  <c r="E38" i="6"/>
  <c r="G38" i="6"/>
  <c r="H38" i="6"/>
  <c r="I38" i="6"/>
  <c r="J38" i="6"/>
  <c r="D39" i="6"/>
  <c r="F38" i="6"/>
  <c r="X40" i="6" l="1"/>
  <c r="W39" i="6"/>
  <c r="Y39" i="6"/>
  <c r="Z39" i="6"/>
  <c r="AA39" i="6"/>
  <c r="AB39" i="6"/>
  <c r="AC39" i="6"/>
  <c r="F39" i="6"/>
  <c r="G39" i="6"/>
  <c r="H39" i="6"/>
  <c r="J39" i="6"/>
  <c r="D40" i="6"/>
  <c r="E39" i="6"/>
  <c r="I39" i="6"/>
  <c r="C39" i="6"/>
  <c r="L38" i="6"/>
  <c r="W40" i="6" l="1"/>
  <c r="Y40" i="6"/>
  <c r="AA40" i="6"/>
  <c r="AB40" i="6"/>
  <c r="AC40" i="6"/>
  <c r="X41" i="6"/>
  <c r="Z40" i="6"/>
  <c r="L39" i="6"/>
  <c r="I40" i="6"/>
  <c r="J40" i="6"/>
  <c r="D41" i="6"/>
  <c r="C40" i="6"/>
  <c r="E40" i="6"/>
  <c r="F40" i="6"/>
  <c r="G40" i="6"/>
  <c r="H40" i="6"/>
  <c r="Z41" i="6" l="1"/>
  <c r="AA41" i="6"/>
  <c r="AB41" i="6"/>
  <c r="AC41" i="6"/>
  <c r="X42" i="6"/>
  <c r="W41" i="6"/>
  <c r="Y41" i="6"/>
  <c r="L40" i="6"/>
  <c r="D42" i="6"/>
  <c r="E41" i="6"/>
  <c r="F41" i="6"/>
  <c r="G41" i="6"/>
  <c r="J41" i="6"/>
  <c r="C41" i="6"/>
  <c r="H41" i="6"/>
  <c r="I41" i="6"/>
  <c r="AC42" i="6" l="1"/>
  <c r="W42" i="6"/>
  <c r="Z42" i="6"/>
  <c r="Y42" i="6"/>
  <c r="AA42" i="6"/>
  <c r="AB42" i="6"/>
  <c r="X43" i="6"/>
  <c r="L41" i="6"/>
  <c r="C42" i="6"/>
  <c r="E42" i="6"/>
  <c r="G42" i="6"/>
  <c r="H42" i="6"/>
  <c r="I42" i="6"/>
  <c r="J42" i="6"/>
  <c r="F42" i="6"/>
  <c r="D43" i="6"/>
  <c r="X44" i="6" l="1"/>
  <c r="W43" i="6"/>
  <c r="Y43" i="6"/>
  <c r="Z43" i="6"/>
  <c r="AA43" i="6"/>
  <c r="AB43" i="6"/>
  <c r="AC43" i="6"/>
  <c r="L42" i="6"/>
  <c r="F43" i="6"/>
  <c r="G43" i="6"/>
  <c r="H43" i="6"/>
  <c r="J43" i="6"/>
  <c r="D44" i="6"/>
  <c r="C43" i="6"/>
  <c r="E43" i="6"/>
  <c r="I43" i="6"/>
  <c r="W44" i="6" l="1"/>
  <c r="Y44" i="6"/>
  <c r="Z44" i="6"/>
  <c r="AB44" i="6"/>
  <c r="AC44" i="6"/>
  <c r="X45" i="6"/>
  <c r="AA44" i="6"/>
  <c r="L43" i="6"/>
  <c r="I44" i="6"/>
  <c r="J44" i="6"/>
  <c r="D45" i="6"/>
  <c r="C44" i="6"/>
  <c r="E44" i="6"/>
  <c r="F44" i="6"/>
  <c r="G44" i="6"/>
  <c r="H44" i="6"/>
  <c r="Z45" i="6" l="1"/>
  <c r="AA45" i="6"/>
  <c r="AB45" i="6"/>
  <c r="X46" i="6"/>
  <c r="W45" i="6"/>
  <c r="Y45" i="6"/>
  <c r="AC45" i="6"/>
  <c r="L44" i="6"/>
  <c r="D46" i="6"/>
  <c r="E45" i="6"/>
  <c r="F45" i="6"/>
  <c r="G45" i="6"/>
  <c r="I45" i="6"/>
  <c r="J45" i="6"/>
  <c r="H45" i="6"/>
  <c r="C45" i="6"/>
  <c r="AC46" i="6" l="1"/>
  <c r="W46" i="6"/>
  <c r="Z46" i="6"/>
  <c r="Y46" i="6"/>
  <c r="AA46" i="6"/>
  <c r="AB46" i="6"/>
  <c r="X47" i="6"/>
  <c r="C46" i="6"/>
  <c r="E46" i="6"/>
  <c r="G46" i="6"/>
  <c r="H46" i="6"/>
  <c r="I46" i="6"/>
  <c r="J46" i="6"/>
  <c r="F46" i="6"/>
  <c r="D47" i="6"/>
  <c r="L45" i="6"/>
  <c r="X48" i="6" l="1"/>
  <c r="W47" i="6"/>
  <c r="Y47" i="6"/>
  <c r="Z47" i="6"/>
  <c r="AA47" i="6"/>
  <c r="AB47" i="6"/>
  <c r="AC47" i="6"/>
  <c r="F47" i="6"/>
  <c r="G47" i="6"/>
  <c r="H47" i="6"/>
  <c r="J47" i="6"/>
  <c r="D48" i="6"/>
  <c r="C47" i="6"/>
  <c r="E47" i="6"/>
  <c r="I47" i="6"/>
  <c r="L46" i="6"/>
  <c r="L47" i="6" l="1"/>
  <c r="W48" i="6"/>
  <c r="Y48" i="6"/>
  <c r="Z48" i="6"/>
  <c r="AB48" i="6"/>
  <c r="AC48" i="6"/>
  <c r="AA48" i="6"/>
  <c r="I48" i="6"/>
  <c r="J48" i="6"/>
  <c r="C48" i="6"/>
  <c r="H48" i="6"/>
  <c r="G48" i="6"/>
  <c r="E48" i="6"/>
  <c r="F48" i="6"/>
  <c r="L48" i="6" l="1"/>
  <c r="E26" i="1" l="1"/>
  <c r="E31" i="1" s="1"/>
  <c r="E32" i="1" s="1"/>
  <c r="G19" i="1"/>
  <c r="F18" i="1"/>
  <c r="G23" i="1" l="1"/>
  <c r="G27" i="1" s="1"/>
  <c r="G34" i="1" s="1"/>
  <c r="F27" i="1"/>
  <c r="F34" i="1" s="1"/>
  <c r="E34" i="1"/>
  <c r="E18" i="1"/>
  <c r="K35" i="1" l="1"/>
  <c r="L35" i="1" s="1"/>
  <c r="AU45" i="2"/>
  <c r="AU44" i="2"/>
  <c r="AU43" i="2"/>
  <c r="AU42" i="2"/>
  <c r="AU41" i="2"/>
  <c r="AU40" i="2"/>
  <c r="AX40" i="2" s="1"/>
  <c r="AZ40" i="2" s="1"/>
  <c r="BB40" i="2" s="1"/>
  <c r="BC40" i="2" s="1"/>
  <c r="BD40" i="2" s="1"/>
  <c r="AU39" i="2"/>
  <c r="AX39" i="2" s="1"/>
  <c r="AZ39" i="2" s="1"/>
  <c r="BB39" i="2" s="1"/>
  <c r="BC39" i="2" s="1"/>
  <c r="BD39" i="2" s="1"/>
  <c r="AU38" i="2"/>
  <c r="AX38" i="2" s="1"/>
  <c r="AZ38" i="2" s="1"/>
  <c r="BB38" i="2" s="1"/>
  <c r="BC38" i="2" s="1"/>
  <c r="BD38" i="2" s="1"/>
  <c r="AU37" i="2"/>
  <c r="AU36" i="2"/>
  <c r="AX36" i="2"/>
  <c r="AZ36" i="2" s="1"/>
  <c r="BB36" i="2" s="1"/>
  <c r="BC36" i="2" s="1"/>
  <c r="BD36" i="2" s="1"/>
  <c r="AU35" i="2"/>
  <c r="AU34" i="2"/>
  <c r="AU33" i="2"/>
  <c r="AX33" i="2"/>
  <c r="AZ33" i="2" s="1"/>
  <c r="BB33" i="2" s="1"/>
  <c r="BC33" i="2" s="1"/>
  <c r="BD33" i="2" s="1"/>
  <c r="AU32" i="2"/>
  <c r="AX32" i="2" s="1"/>
  <c r="AZ32" i="2" s="1"/>
  <c r="BB32" i="2" s="1"/>
  <c r="BC32" i="2" s="1"/>
  <c r="BD32" i="2" s="1"/>
  <c r="AU31" i="2"/>
  <c r="AU30" i="2"/>
  <c r="AX30" i="2" s="1"/>
  <c r="AZ30" i="2" s="1"/>
  <c r="BB30" i="2" s="1"/>
  <c r="BC30" i="2" s="1"/>
  <c r="BD30" i="2" s="1"/>
  <c r="AU29" i="2"/>
  <c r="AU28" i="2"/>
  <c r="AU27" i="2"/>
  <c r="AX27" i="2" s="1"/>
  <c r="AZ27" i="2" s="1"/>
  <c r="BB27" i="2" s="1"/>
  <c r="BC27" i="2" s="1"/>
  <c r="BD27" i="2" s="1"/>
  <c r="AU26" i="2"/>
  <c r="AX26" i="2"/>
  <c r="AZ26" i="2" s="1"/>
  <c r="BB26" i="2" s="1"/>
  <c r="BC26" i="2" s="1"/>
  <c r="BD26" i="2" s="1"/>
  <c r="AU25" i="2"/>
  <c r="AU24" i="2"/>
  <c r="AX24" i="2" s="1"/>
  <c r="AZ24" i="2" s="1"/>
  <c r="BB24" i="2" s="1"/>
  <c r="BC24" i="2" s="1"/>
  <c r="BD24" i="2" s="1"/>
  <c r="AU23" i="2"/>
  <c r="AU22" i="2"/>
  <c r="AU21" i="2"/>
  <c r="AX21" i="2" s="1"/>
  <c r="AZ21" i="2" s="1"/>
  <c r="BB21" i="2" s="1"/>
  <c r="BC21" i="2" s="1"/>
  <c r="BD21" i="2" s="1"/>
  <c r="AU20" i="2"/>
  <c r="AX20" i="2" s="1"/>
  <c r="AZ20" i="2" s="1"/>
  <c r="BB20" i="2" s="1"/>
  <c r="BC20" i="2" s="1"/>
  <c r="BD20" i="2" s="1"/>
  <c r="AU19" i="2"/>
  <c r="AU18" i="2"/>
  <c r="AX18" i="2" s="1"/>
  <c r="AZ18" i="2" s="1"/>
  <c r="BB18" i="2" s="1"/>
  <c r="BC18" i="2" s="1"/>
  <c r="BD18" i="2" s="1"/>
  <c r="AU17" i="2"/>
  <c r="AX17" i="2" s="1"/>
  <c r="AZ17" i="2" s="1"/>
  <c r="BB17" i="2" s="1"/>
  <c r="BC17" i="2" s="1"/>
  <c r="BD17" i="2" s="1"/>
  <c r="AU16" i="2"/>
  <c r="AU15" i="2"/>
  <c r="AX15" i="2" s="1"/>
  <c r="AZ15" i="2" s="1"/>
  <c r="BB15" i="2" s="1"/>
  <c r="BC15" i="2" s="1"/>
  <c r="BD15" i="2" s="1"/>
  <c r="AU14" i="2"/>
  <c r="AX14" i="2" s="1"/>
  <c r="AZ14" i="2" s="1"/>
  <c r="BB14" i="2" s="1"/>
  <c r="BC14" i="2" s="1"/>
  <c r="BD14" i="2" s="1"/>
  <c r="AU13" i="2"/>
  <c r="AU12" i="2"/>
  <c r="AU11" i="2"/>
  <c r="AX11" i="2" s="1"/>
  <c r="AZ11" i="2" s="1"/>
  <c r="BB11" i="2" s="1"/>
  <c r="BC11" i="2" s="1"/>
  <c r="BD11" i="2" s="1"/>
  <c r="AU10" i="2"/>
  <c r="AU9" i="2"/>
  <c r="AU8" i="2"/>
  <c r="AX8" i="2" s="1"/>
  <c r="AZ8" i="2" s="1"/>
  <c r="BB8" i="2" s="1"/>
  <c r="BC8" i="2" s="1"/>
  <c r="BD8" i="2" s="1"/>
  <c r="AU7" i="2"/>
  <c r="AU6" i="2"/>
  <c r="AX6" i="2" s="1"/>
  <c r="AZ6" i="2" s="1"/>
  <c r="BB6" i="2" s="1"/>
  <c r="BC6" i="2" s="1"/>
  <c r="BD6" i="2" s="1"/>
  <c r="AU5" i="2"/>
  <c r="AX5" i="2" s="1"/>
  <c r="AZ5" i="2" s="1"/>
  <c r="BB5" i="2" s="1"/>
  <c r="BC5" i="2" s="1"/>
  <c r="BD5" i="2" s="1"/>
  <c r="BE5" i="2" s="1"/>
  <c r="AG44" i="2"/>
  <c r="AJ44" i="2"/>
  <c r="AL44" i="2" s="1"/>
  <c r="AN44" i="2" s="1"/>
  <c r="AO44" i="2" s="1"/>
  <c r="AP44" i="2" s="1"/>
  <c r="AG43" i="2"/>
  <c r="AG42" i="2"/>
  <c r="AG41" i="2"/>
  <c r="AG40" i="2"/>
  <c r="AG39" i="2"/>
  <c r="AG38" i="2"/>
  <c r="AJ38" i="2" s="1"/>
  <c r="AL38" i="2" s="1"/>
  <c r="AN38" i="2" s="1"/>
  <c r="AO38" i="2" s="1"/>
  <c r="AP38" i="2" s="1"/>
  <c r="AG37" i="2"/>
  <c r="AG36" i="2"/>
  <c r="AG35" i="2"/>
  <c r="AG34" i="2"/>
  <c r="AG33" i="2"/>
  <c r="AG32" i="2"/>
  <c r="AJ32" i="2"/>
  <c r="AL32" i="2" s="1"/>
  <c r="AN32" i="2" s="1"/>
  <c r="AO32" i="2" s="1"/>
  <c r="AP32" i="2" s="1"/>
  <c r="AG31" i="2"/>
  <c r="AG30" i="2"/>
  <c r="AG29" i="2"/>
  <c r="AG28" i="2"/>
  <c r="AG27" i="2"/>
  <c r="AG26" i="2"/>
  <c r="AJ26" i="2" s="1"/>
  <c r="AL26" i="2" s="1"/>
  <c r="AN26" i="2" s="1"/>
  <c r="AO26" i="2" s="1"/>
  <c r="AP26" i="2" s="1"/>
  <c r="AG25" i="2"/>
  <c r="AG24" i="2"/>
  <c r="AG23" i="2"/>
  <c r="AG22" i="2"/>
  <c r="AG21" i="2"/>
  <c r="AG20" i="2"/>
  <c r="AJ20" i="2" s="1"/>
  <c r="AL20" i="2" s="1"/>
  <c r="AN20" i="2" s="1"/>
  <c r="AO20" i="2" s="1"/>
  <c r="AP20" i="2" s="1"/>
  <c r="AG19" i="2"/>
  <c r="AG18" i="2"/>
  <c r="AG17" i="2"/>
  <c r="AG16" i="2"/>
  <c r="AG15" i="2"/>
  <c r="AG14" i="2"/>
  <c r="AJ14" i="2" s="1"/>
  <c r="AL14" i="2" s="1"/>
  <c r="AN14" i="2" s="1"/>
  <c r="AO14" i="2" s="1"/>
  <c r="AP14" i="2" s="1"/>
  <c r="AG13" i="2"/>
  <c r="AG12" i="2"/>
  <c r="AG11" i="2"/>
  <c r="AG10" i="2"/>
  <c r="AG9" i="2"/>
  <c r="AG8" i="2"/>
  <c r="AJ8" i="2" s="1"/>
  <c r="AL8" i="2" s="1"/>
  <c r="AN8" i="2" s="1"/>
  <c r="AO8" i="2" s="1"/>
  <c r="AP8" i="2" s="1"/>
  <c r="AG7" i="2"/>
  <c r="AG6" i="2"/>
  <c r="AG5" i="2"/>
  <c r="R44" i="2"/>
  <c r="U44" i="2" s="1"/>
  <c r="W44" i="2" s="1"/>
  <c r="Y44" i="2" s="1"/>
  <c r="Z44" i="2" s="1"/>
  <c r="AA44" i="2" s="1"/>
  <c r="R43" i="2"/>
  <c r="R42" i="2"/>
  <c r="R41" i="2"/>
  <c r="R40" i="2"/>
  <c r="R39" i="2"/>
  <c r="U39" i="2" s="1"/>
  <c r="W39" i="2" s="1"/>
  <c r="Y39" i="2" s="1"/>
  <c r="Z39" i="2" s="1"/>
  <c r="AA39" i="2" s="1"/>
  <c r="R38" i="2"/>
  <c r="U38" i="2" s="1"/>
  <c r="W38" i="2" s="1"/>
  <c r="Y38" i="2" s="1"/>
  <c r="Z38" i="2" s="1"/>
  <c r="AA38" i="2" s="1"/>
  <c r="R37" i="2"/>
  <c r="R36" i="2"/>
  <c r="R35" i="2"/>
  <c r="U35" i="2" s="1"/>
  <c r="W35" i="2" s="1"/>
  <c r="Y35" i="2" s="1"/>
  <c r="Z35" i="2" s="1"/>
  <c r="AA35" i="2" s="1"/>
  <c r="R34" i="2"/>
  <c r="R33" i="2"/>
  <c r="U33" i="2" s="1"/>
  <c r="W33" i="2" s="1"/>
  <c r="Y33" i="2" s="1"/>
  <c r="Z33" i="2" s="1"/>
  <c r="AA33" i="2" s="1"/>
  <c r="R32" i="2"/>
  <c r="U32" i="2" s="1"/>
  <c r="W32" i="2" s="1"/>
  <c r="Y32" i="2" s="1"/>
  <c r="Z32" i="2" s="1"/>
  <c r="AA32" i="2" s="1"/>
  <c r="R31" i="2"/>
  <c r="R30" i="2"/>
  <c r="U30" i="2" s="1"/>
  <c r="W30" i="2" s="1"/>
  <c r="Y30" i="2" s="1"/>
  <c r="Z30" i="2" s="1"/>
  <c r="AA30" i="2" s="1"/>
  <c r="R29" i="2"/>
  <c r="R28" i="2"/>
  <c r="U28" i="2" s="1"/>
  <c r="W28" i="2" s="1"/>
  <c r="Y28" i="2" s="1"/>
  <c r="Z28" i="2" s="1"/>
  <c r="AA28" i="2" s="1"/>
  <c r="R27" i="2"/>
  <c r="R26" i="2"/>
  <c r="R25" i="2"/>
  <c r="R24" i="2"/>
  <c r="U24" i="2" s="1"/>
  <c r="W24" i="2" s="1"/>
  <c r="Y24" i="2" s="1"/>
  <c r="Z24" i="2" s="1"/>
  <c r="AA24" i="2" s="1"/>
  <c r="R23" i="2"/>
  <c r="R22" i="2"/>
  <c r="U22" i="2" s="1"/>
  <c r="W22" i="2" s="1"/>
  <c r="Y22" i="2" s="1"/>
  <c r="Z22" i="2" s="1"/>
  <c r="AA22" i="2" s="1"/>
  <c r="R21" i="2"/>
  <c r="R20" i="2"/>
  <c r="R19" i="2"/>
  <c r="R18" i="2"/>
  <c r="U18" i="2" s="1"/>
  <c r="W18" i="2" s="1"/>
  <c r="Y18" i="2" s="1"/>
  <c r="Z18" i="2" s="1"/>
  <c r="AA18" i="2" s="1"/>
  <c r="R17" i="2"/>
  <c r="R16" i="2"/>
  <c r="R15" i="2"/>
  <c r="R14" i="2"/>
  <c r="R13" i="2"/>
  <c r="R12" i="2"/>
  <c r="R11" i="2"/>
  <c r="U11" i="2" s="1"/>
  <c r="W11" i="2" s="1"/>
  <c r="Y11" i="2" s="1"/>
  <c r="Z11" i="2" s="1"/>
  <c r="AA11" i="2" s="1"/>
  <c r="R10" i="2"/>
  <c r="R9" i="2"/>
  <c r="R8" i="2"/>
  <c r="R7" i="2"/>
  <c r="R6" i="2"/>
  <c r="U6" i="2" s="1"/>
  <c r="W6" i="2" s="1"/>
  <c r="Y6" i="2" s="1"/>
  <c r="Z6" i="2" s="1"/>
  <c r="AA6" i="2" s="1"/>
  <c r="R5" i="2"/>
  <c r="U5" i="2" s="1"/>
  <c r="W5" i="2" s="1"/>
  <c r="Y5" i="2" s="1"/>
  <c r="Z5" i="2" s="1"/>
  <c r="AA5" i="2" s="1"/>
  <c r="AB5" i="2" s="1"/>
  <c r="G45" i="2"/>
  <c r="I45" i="2" s="1"/>
  <c r="K45" i="2" s="1"/>
  <c r="L45" i="2" s="1"/>
  <c r="M45" i="2" s="1"/>
  <c r="D44" i="2"/>
  <c r="G44" i="2" s="1"/>
  <c r="I44" i="2" s="1"/>
  <c r="K44" i="2" s="1"/>
  <c r="L44" i="2" s="1"/>
  <c r="M44" i="2" s="1"/>
  <c r="D43" i="2"/>
  <c r="G43" i="2" s="1"/>
  <c r="I43" i="2" s="1"/>
  <c r="K43" i="2" s="1"/>
  <c r="L43" i="2" s="1"/>
  <c r="M43" i="2" s="1"/>
  <c r="D42" i="2"/>
  <c r="G42" i="2" s="1"/>
  <c r="I42" i="2" s="1"/>
  <c r="K42" i="2" s="1"/>
  <c r="L42" i="2" s="1"/>
  <c r="M42" i="2" s="1"/>
  <c r="D41" i="2"/>
  <c r="G41" i="2" s="1"/>
  <c r="I41" i="2" s="1"/>
  <c r="K41" i="2" s="1"/>
  <c r="L41" i="2" s="1"/>
  <c r="M41" i="2" s="1"/>
  <c r="D40" i="2"/>
  <c r="G40" i="2" s="1"/>
  <c r="I40" i="2" s="1"/>
  <c r="K40" i="2" s="1"/>
  <c r="L40" i="2" s="1"/>
  <c r="M40" i="2" s="1"/>
  <c r="D39" i="2"/>
  <c r="G39" i="2" s="1"/>
  <c r="I39" i="2" s="1"/>
  <c r="K39" i="2" s="1"/>
  <c r="L39" i="2" s="1"/>
  <c r="M39" i="2" s="1"/>
  <c r="D38" i="2"/>
  <c r="G38" i="2" s="1"/>
  <c r="I38" i="2" s="1"/>
  <c r="K38" i="2" s="1"/>
  <c r="L38" i="2" s="1"/>
  <c r="M38" i="2" s="1"/>
  <c r="D37" i="2"/>
  <c r="G37" i="2" s="1"/>
  <c r="I37" i="2" s="1"/>
  <c r="K37" i="2" s="1"/>
  <c r="L37" i="2" s="1"/>
  <c r="M37" i="2" s="1"/>
  <c r="D36" i="2"/>
  <c r="G36" i="2" s="1"/>
  <c r="I36" i="2" s="1"/>
  <c r="K36" i="2" s="1"/>
  <c r="L36" i="2" s="1"/>
  <c r="M36" i="2" s="1"/>
  <c r="D35" i="2"/>
  <c r="G35" i="2" s="1"/>
  <c r="I35" i="2" s="1"/>
  <c r="K35" i="2" s="1"/>
  <c r="L35" i="2" s="1"/>
  <c r="M35" i="2" s="1"/>
  <c r="D34" i="2"/>
  <c r="G34" i="2" s="1"/>
  <c r="I34" i="2" s="1"/>
  <c r="K34" i="2" s="1"/>
  <c r="L34" i="2" s="1"/>
  <c r="M34" i="2" s="1"/>
  <c r="D33" i="2"/>
  <c r="G33" i="2" s="1"/>
  <c r="I33" i="2" s="1"/>
  <c r="K33" i="2" s="1"/>
  <c r="L33" i="2" s="1"/>
  <c r="M33" i="2" s="1"/>
  <c r="D32" i="2"/>
  <c r="G32" i="2" s="1"/>
  <c r="I32" i="2" s="1"/>
  <c r="K32" i="2" s="1"/>
  <c r="L32" i="2" s="1"/>
  <c r="M32" i="2" s="1"/>
  <c r="D31" i="2"/>
  <c r="G31" i="2" s="1"/>
  <c r="I31" i="2" s="1"/>
  <c r="K31" i="2" s="1"/>
  <c r="L31" i="2" s="1"/>
  <c r="M31" i="2" s="1"/>
  <c r="D30" i="2"/>
  <c r="G30" i="2" s="1"/>
  <c r="I30" i="2" s="1"/>
  <c r="K30" i="2" s="1"/>
  <c r="L30" i="2" s="1"/>
  <c r="M30" i="2" s="1"/>
  <c r="D29" i="2"/>
  <c r="G29" i="2" s="1"/>
  <c r="I29" i="2" s="1"/>
  <c r="K29" i="2" s="1"/>
  <c r="L29" i="2" s="1"/>
  <c r="M29" i="2" s="1"/>
  <c r="D28" i="2"/>
  <c r="G28" i="2" s="1"/>
  <c r="I28" i="2" s="1"/>
  <c r="K28" i="2" s="1"/>
  <c r="L28" i="2" s="1"/>
  <c r="M28" i="2" s="1"/>
  <c r="D27" i="2"/>
  <c r="G27" i="2" s="1"/>
  <c r="I27" i="2" s="1"/>
  <c r="K27" i="2" s="1"/>
  <c r="L27" i="2" s="1"/>
  <c r="M27" i="2" s="1"/>
  <c r="D26" i="2"/>
  <c r="G26" i="2" s="1"/>
  <c r="I26" i="2" s="1"/>
  <c r="K26" i="2" s="1"/>
  <c r="L26" i="2" s="1"/>
  <c r="M26" i="2" s="1"/>
  <c r="D25" i="2"/>
  <c r="G25" i="2" s="1"/>
  <c r="I25" i="2" s="1"/>
  <c r="K25" i="2" s="1"/>
  <c r="L25" i="2" s="1"/>
  <c r="M25" i="2" s="1"/>
  <c r="D24" i="2"/>
  <c r="G24" i="2" s="1"/>
  <c r="I24" i="2" s="1"/>
  <c r="K24" i="2" s="1"/>
  <c r="L24" i="2" s="1"/>
  <c r="M24" i="2" s="1"/>
  <c r="D23" i="2"/>
  <c r="G23" i="2" s="1"/>
  <c r="I23" i="2" s="1"/>
  <c r="K23" i="2" s="1"/>
  <c r="L23" i="2" s="1"/>
  <c r="M23" i="2" s="1"/>
  <c r="D22" i="2"/>
  <c r="G22" i="2" s="1"/>
  <c r="I22" i="2" s="1"/>
  <c r="K22" i="2" s="1"/>
  <c r="L22" i="2" s="1"/>
  <c r="M22" i="2" s="1"/>
  <c r="D21" i="2"/>
  <c r="G21" i="2" s="1"/>
  <c r="I21" i="2" s="1"/>
  <c r="K21" i="2" s="1"/>
  <c r="L21" i="2" s="1"/>
  <c r="M21" i="2" s="1"/>
  <c r="D20" i="2"/>
  <c r="G20" i="2" s="1"/>
  <c r="I20" i="2" s="1"/>
  <c r="K20" i="2" s="1"/>
  <c r="L20" i="2" s="1"/>
  <c r="M20" i="2" s="1"/>
  <c r="D19" i="2"/>
  <c r="G19" i="2" s="1"/>
  <c r="I19" i="2" s="1"/>
  <c r="K19" i="2" s="1"/>
  <c r="L19" i="2" s="1"/>
  <c r="M19" i="2" s="1"/>
  <c r="D18" i="2"/>
  <c r="G18" i="2" s="1"/>
  <c r="I18" i="2" s="1"/>
  <c r="K18" i="2" s="1"/>
  <c r="L18" i="2" s="1"/>
  <c r="M18" i="2" s="1"/>
  <c r="D17" i="2"/>
  <c r="G17" i="2" s="1"/>
  <c r="I17" i="2" s="1"/>
  <c r="K17" i="2" s="1"/>
  <c r="L17" i="2" s="1"/>
  <c r="M17" i="2" s="1"/>
  <c r="D16" i="2"/>
  <c r="G16" i="2" s="1"/>
  <c r="I16" i="2" s="1"/>
  <c r="K16" i="2" s="1"/>
  <c r="L16" i="2" s="1"/>
  <c r="M16" i="2" s="1"/>
  <c r="D15" i="2"/>
  <c r="G15" i="2" s="1"/>
  <c r="I15" i="2" s="1"/>
  <c r="K15" i="2" s="1"/>
  <c r="L15" i="2" s="1"/>
  <c r="M15" i="2" s="1"/>
  <c r="D14" i="2"/>
  <c r="G14" i="2" s="1"/>
  <c r="I14" i="2" s="1"/>
  <c r="K14" i="2" s="1"/>
  <c r="L14" i="2" s="1"/>
  <c r="M14" i="2" s="1"/>
  <c r="D13" i="2"/>
  <c r="G13" i="2" s="1"/>
  <c r="I13" i="2" s="1"/>
  <c r="K13" i="2" s="1"/>
  <c r="L13" i="2" s="1"/>
  <c r="M13" i="2" s="1"/>
  <c r="D12" i="2"/>
  <c r="G12" i="2" s="1"/>
  <c r="I12" i="2" s="1"/>
  <c r="K12" i="2" s="1"/>
  <c r="L12" i="2" s="1"/>
  <c r="M12" i="2" s="1"/>
  <c r="D11" i="2"/>
  <c r="G11" i="2"/>
  <c r="I11" i="2" s="1"/>
  <c r="K11" i="2" s="1"/>
  <c r="L11" i="2" s="1"/>
  <c r="M11" i="2" s="1"/>
  <c r="D10" i="2"/>
  <c r="G10" i="2" s="1"/>
  <c r="I10" i="2" s="1"/>
  <c r="K10" i="2" s="1"/>
  <c r="L10" i="2" s="1"/>
  <c r="M10" i="2" s="1"/>
  <c r="D9" i="2"/>
  <c r="G9" i="2" s="1"/>
  <c r="I9" i="2" s="1"/>
  <c r="K9" i="2" s="1"/>
  <c r="L9" i="2" s="1"/>
  <c r="M9" i="2" s="1"/>
  <c r="D8" i="2"/>
  <c r="G8" i="2" s="1"/>
  <c r="I8" i="2" s="1"/>
  <c r="K8" i="2" s="1"/>
  <c r="L8" i="2" s="1"/>
  <c r="M8" i="2" s="1"/>
  <c r="D7" i="2"/>
  <c r="G7" i="2" s="1"/>
  <c r="I7" i="2" s="1"/>
  <c r="K7" i="2" s="1"/>
  <c r="L7" i="2" s="1"/>
  <c r="M7" i="2" s="1"/>
  <c r="D6" i="2"/>
  <c r="G6" i="2" s="1"/>
  <c r="I6" i="2" s="1"/>
  <c r="K6" i="2" s="1"/>
  <c r="L6" i="2" s="1"/>
  <c r="M6" i="2" s="1"/>
  <c r="D5" i="2"/>
  <c r="G5" i="2" s="1"/>
  <c r="I5" i="2" s="1"/>
  <c r="K5" i="2" s="1"/>
  <c r="L5" i="2" s="1"/>
  <c r="M5" i="2" s="1"/>
  <c r="N5" i="2" s="1"/>
  <c r="K9" i="1"/>
  <c r="AJ45" i="2" l="1"/>
  <c r="AL45" i="2" s="1"/>
  <c r="AN45" i="2" s="1"/>
  <c r="AO45" i="2" s="1"/>
  <c r="AP45" i="2" s="1"/>
  <c r="U12" i="2"/>
  <c r="W12" i="2" s="1"/>
  <c r="Y12" i="2" s="1"/>
  <c r="Z12" i="2" s="1"/>
  <c r="AA12" i="2" s="1"/>
  <c r="U19" i="2"/>
  <c r="W19" i="2" s="1"/>
  <c r="Y19" i="2" s="1"/>
  <c r="Z19" i="2" s="1"/>
  <c r="AA19" i="2" s="1"/>
  <c r="U25" i="2"/>
  <c r="W25" i="2" s="1"/>
  <c r="Y25" i="2" s="1"/>
  <c r="Z25" i="2" s="1"/>
  <c r="AA25" i="2" s="1"/>
  <c r="U31" i="2"/>
  <c r="W31" i="2" s="1"/>
  <c r="Y31" i="2" s="1"/>
  <c r="Z31" i="2" s="1"/>
  <c r="AA31" i="2" s="1"/>
  <c r="U27" i="2"/>
  <c r="W27" i="2" s="1"/>
  <c r="Y27" i="2" s="1"/>
  <c r="Z27" i="2" s="1"/>
  <c r="AA27" i="2" s="1"/>
  <c r="U9" i="2"/>
  <c r="W9" i="2" s="1"/>
  <c r="Y9" i="2" s="1"/>
  <c r="Z9" i="2" s="1"/>
  <c r="AA9" i="2" s="1"/>
  <c r="U15" i="2"/>
  <c r="W15" i="2" s="1"/>
  <c r="Y15" i="2" s="1"/>
  <c r="Z15" i="2" s="1"/>
  <c r="AA15" i="2" s="1"/>
  <c r="U43" i="2"/>
  <c r="W43" i="2" s="1"/>
  <c r="Y43" i="2" s="1"/>
  <c r="Z43" i="2" s="1"/>
  <c r="AA43" i="2" s="1"/>
  <c r="AJ7" i="2"/>
  <c r="AL7" i="2" s="1"/>
  <c r="AN7" i="2" s="1"/>
  <c r="AO7" i="2" s="1"/>
  <c r="AP7" i="2" s="1"/>
  <c r="AJ13" i="2"/>
  <c r="AL13" i="2" s="1"/>
  <c r="AN13" i="2" s="1"/>
  <c r="AO13" i="2" s="1"/>
  <c r="AP13" i="2" s="1"/>
  <c r="AJ19" i="2"/>
  <c r="AL19" i="2" s="1"/>
  <c r="AN19" i="2" s="1"/>
  <c r="AO19" i="2" s="1"/>
  <c r="AP19" i="2" s="1"/>
  <c r="AJ25" i="2"/>
  <c r="AL25" i="2" s="1"/>
  <c r="AN25" i="2" s="1"/>
  <c r="AO25" i="2" s="1"/>
  <c r="AP25" i="2" s="1"/>
  <c r="AJ31" i="2"/>
  <c r="AL31" i="2" s="1"/>
  <c r="AN31" i="2" s="1"/>
  <c r="AO31" i="2" s="1"/>
  <c r="AP31" i="2" s="1"/>
  <c r="AJ37" i="2"/>
  <c r="AL37" i="2" s="1"/>
  <c r="AN37" i="2" s="1"/>
  <c r="AO37" i="2" s="1"/>
  <c r="AP37" i="2" s="1"/>
  <c r="AX9" i="2"/>
  <c r="AZ9" i="2" s="1"/>
  <c r="BB9" i="2" s="1"/>
  <c r="BC9" i="2" s="1"/>
  <c r="BD9" i="2" s="1"/>
  <c r="U21" i="2"/>
  <c r="W21" i="2" s="1"/>
  <c r="Y21" i="2" s="1"/>
  <c r="Z21" i="2" s="1"/>
  <c r="AA21" i="2" s="1"/>
  <c r="AX44" i="2"/>
  <c r="AZ44" i="2" s="1"/>
  <c r="BB44" i="2" s="1"/>
  <c r="BC44" i="2" s="1"/>
  <c r="BD44" i="2" s="1"/>
  <c r="U45" i="2"/>
  <c r="W45" i="2" s="1"/>
  <c r="Y45" i="2" s="1"/>
  <c r="Z45" i="2" s="1"/>
  <c r="AA45" i="2" s="1"/>
  <c r="U29" i="2"/>
  <c r="W29" i="2" s="1"/>
  <c r="Y29" i="2" s="1"/>
  <c r="Z29" i="2" s="1"/>
  <c r="AA29" i="2" s="1"/>
  <c r="AX7" i="2"/>
  <c r="AZ7" i="2" s="1"/>
  <c r="BB7" i="2" s="1"/>
  <c r="BC7" i="2" s="1"/>
  <c r="BD7" i="2" s="1"/>
  <c r="AX12" i="2"/>
  <c r="AZ12" i="2" s="1"/>
  <c r="BB12" i="2" s="1"/>
  <c r="BC12" i="2" s="1"/>
  <c r="BD12" i="2" s="1"/>
  <c r="AX23" i="2"/>
  <c r="AZ23" i="2" s="1"/>
  <c r="BB23" i="2" s="1"/>
  <c r="BC23" i="2" s="1"/>
  <c r="BD23" i="2" s="1"/>
  <c r="AX29" i="2"/>
  <c r="AZ29" i="2" s="1"/>
  <c r="BB29" i="2" s="1"/>
  <c r="BC29" i="2" s="1"/>
  <c r="BD29" i="2" s="1"/>
  <c r="AX35" i="2"/>
  <c r="AZ35" i="2" s="1"/>
  <c r="BB35" i="2" s="1"/>
  <c r="BC35" i="2" s="1"/>
  <c r="BD35" i="2" s="1"/>
  <c r="AX41" i="2"/>
  <c r="AZ41" i="2" s="1"/>
  <c r="BB41" i="2" s="1"/>
  <c r="BC41" i="2" s="1"/>
  <c r="BD41" i="2" s="1"/>
  <c r="U13" i="2"/>
  <c r="W13" i="2" s="1"/>
  <c r="Y13" i="2" s="1"/>
  <c r="Z13" i="2" s="1"/>
  <c r="AA13" i="2" s="1"/>
  <c r="U36" i="2"/>
  <c r="W36" i="2" s="1"/>
  <c r="Y36" i="2" s="1"/>
  <c r="Z36" i="2" s="1"/>
  <c r="AA36" i="2" s="1"/>
  <c r="U42" i="2"/>
  <c r="W42" i="2" s="1"/>
  <c r="Y42" i="2" s="1"/>
  <c r="Z42" i="2" s="1"/>
  <c r="AA42" i="2" s="1"/>
  <c r="AJ42" i="2"/>
  <c r="AL42" i="2" s="1"/>
  <c r="AN42" i="2" s="1"/>
  <c r="AO42" i="2" s="1"/>
  <c r="AP42" i="2" s="1"/>
  <c r="AX43" i="2"/>
  <c r="AZ43" i="2" s="1"/>
  <c r="BB43" i="2" s="1"/>
  <c r="BC43" i="2" s="1"/>
  <c r="BD43" i="2" s="1"/>
  <c r="U10" i="2"/>
  <c r="W10" i="2" s="1"/>
  <c r="Y10" i="2" s="1"/>
  <c r="Z10" i="2" s="1"/>
  <c r="AA10" i="2" s="1"/>
  <c r="U26" i="2"/>
  <c r="W26" i="2" s="1"/>
  <c r="Y26" i="2" s="1"/>
  <c r="Z26" i="2" s="1"/>
  <c r="AA26" i="2" s="1"/>
  <c r="U41" i="2"/>
  <c r="W41" i="2" s="1"/>
  <c r="Y41" i="2" s="1"/>
  <c r="Z41" i="2" s="1"/>
  <c r="AA41" i="2" s="1"/>
  <c r="AX10" i="2"/>
  <c r="AZ10" i="2" s="1"/>
  <c r="BB10" i="2" s="1"/>
  <c r="BC10" i="2" s="1"/>
  <c r="BD10" i="2" s="1"/>
  <c r="AX19" i="2"/>
  <c r="AZ19" i="2" s="1"/>
  <c r="BB19" i="2" s="1"/>
  <c r="BC19" i="2" s="1"/>
  <c r="BD19" i="2" s="1"/>
  <c r="AX28" i="2"/>
  <c r="AZ28" i="2" s="1"/>
  <c r="BB28" i="2" s="1"/>
  <c r="BC28" i="2" s="1"/>
  <c r="BD28" i="2" s="1"/>
  <c r="AX37" i="2"/>
  <c r="AZ37" i="2" s="1"/>
  <c r="BB37" i="2" s="1"/>
  <c r="BC37" i="2" s="1"/>
  <c r="BD37" i="2" s="1"/>
  <c r="AX42" i="2"/>
  <c r="AZ42" i="2" s="1"/>
  <c r="BB42" i="2" s="1"/>
  <c r="BC42" i="2" s="1"/>
  <c r="BD42" i="2" s="1"/>
  <c r="U16" i="2"/>
  <c r="W16" i="2" s="1"/>
  <c r="Y16" i="2" s="1"/>
  <c r="Z16" i="2" s="1"/>
  <c r="AA16" i="2" s="1"/>
  <c r="AJ9" i="2"/>
  <c r="AL9" i="2" s="1"/>
  <c r="AN9" i="2" s="1"/>
  <c r="AO9" i="2" s="1"/>
  <c r="AP9" i="2" s="1"/>
  <c r="AJ15" i="2"/>
  <c r="AL15" i="2" s="1"/>
  <c r="AN15" i="2" s="1"/>
  <c r="AO15" i="2" s="1"/>
  <c r="AP15" i="2" s="1"/>
  <c r="AJ21" i="2"/>
  <c r="AL21" i="2" s="1"/>
  <c r="AN21" i="2" s="1"/>
  <c r="AO21" i="2" s="1"/>
  <c r="AP21" i="2" s="1"/>
  <c r="AJ27" i="2"/>
  <c r="AL27" i="2" s="1"/>
  <c r="AN27" i="2" s="1"/>
  <c r="AO27" i="2" s="1"/>
  <c r="AP27" i="2" s="1"/>
  <c r="AJ33" i="2"/>
  <c r="AL33" i="2" s="1"/>
  <c r="AN33" i="2" s="1"/>
  <c r="AO33" i="2" s="1"/>
  <c r="AP33" i="2" s="1"/>
  <c r="AJ39" i="2"/>
  <c r="AL39" i="2" s="1"/>
  <c r="AN39" i="2" s="1"/>
  <c r="AO39" i="2" s="1"/>
  <c r="AP39" i="2" s="1"/>
  <c r="U17" i="2"/>
  <c r="W17" i="2" s="1"/>
  <c r="Y17" i="2" s="1"/>
  <c r="Z17" i="2" s="1"/>
  <c r="AA17" i="2" s="1"/>
  <c r="U37" i="2"/>
  <c r="W37" i="2" s="1"/>
  <c r="Y37" i="2" s="1"/>
  <c r="Z37" i="2" s="1"/>
  <c r="AA37" i="2" s="1"/>
  <c r="AJ10" i="2"/>
  <c r="AL10" i="2" s="1"/>
  <c r="AN10" i="2" s="1"/>
  <c r="AO10" i="2" s="1"/>
  <c r="AP10" i="2" s="1"/>
  <c r="AJ16" i="2"/>
  <c r="AL16" i="2" s="1"/>
  <c r="AN16" i="2" s="1"/>
  <c r="AO16" i="2" s="1"/>
  <c r="AP16" i="2" s="1"/>
  <c r="AJ22" i="2"/>
  <c r="AL22" i="2" s="1"/>
  <c r="AN22" i="2" s="1"/>
  <c r="AO22" i="2" s="1"/>
  <c r="AP22" i="2" s="1"/>
  <c r="AJ28" i="2"/>
  <c r="AL28" i="2" s="1"/>
  <c r="AN28" i="2" s="1"/>
  <c r="AO28" i="2" s="1"/>
  <c r="AP28" i="2" s="1"/>
  <c r="AJ34" i="2"/>
  <c r="AL34" i="2" s="1"/>
  <c r="AN34" i="2" s="1"/>
  <c r="AO34" i="2" s="1"/>
  <c r="AP34" i="2" s="1"/>
  <c r="AJ40" i="2"/>
  <c r="AL40" i="2" s="1"/>
  <c r="AN40" i="2" s="1"/>
  <c r="AO40" i="2" s="1"/>
  <c r="AP40" i="2" s="1"/>
  <c r="AX16" i="2"/>
  <c r="AZ16" i="2" s="1"/>
  <c r="BB16" i="2" s="1"/>
  <c r="BC16" i="2" s="1"/>
  <c r="BD16" i="2" s="1"/>
  <c r="AX25" i="2"/>
  <c r="AZ25" i="2" s="1"/>
  <c r="BB25" i="2" s="1"/>
  <c r="BC25" i="2" s="1"/>
  <c r="BD25" i="2" s="1"/>
  <c r="AX34" i="2"/>
  <c r="AZ34" i="2" s="1"/>
  <c r="BB34" i="2" s="1"/>
  <c r="BC34" i="2" s="1"/>
  <c r="BD34" i="2" s="1"/>
  <c r="U7" i="2"/>
  <c r="W7" i="2" s="1"/>
  <c r="Y7" i="2" s="1"/>
  <c r="Z7" i="2" s="1"/>
  <c r="AA7" i="2" s="1"/>
  <c r="U23" i="2"/>
  <c r="W23" i="2" s="1"/>
  <c r="Y23" i="2" s="1"/>
  <c r="Z23" i="2" s="1"/>
  <c r="AA23" i="2" s="1"/>
  <c r="AJ5" i="2"/>
  <c r="AL5" i="2" s="1"/>
  <c r="AN5" i="2" s="1"/>
  <c r="AO5" i="2" s="1"/>
  <c r="AP5" i="2" s="1"/>
  <c r="AQ5" i="2" s="1"/>
  <c r="AJ11" i="2"/>
  <c r="AL11" i="2" s="1"/>
  <c r="AN11" i="2" s="1"/>
  <c r="AO11" i="2" s="1"/>
  <c r="AP11" i="2" s="1"/>
  <c r="AJ17" i="2"/>
  <c r="AL17" i="2" s="1"/>
  <c r="AN17" i="2" s="1"/>
  <c r="AO17" i="2" s="1"/>
  <c r="AP17" i="2" s="1"/>
  <c r="AJ23" i="2"/>
  <c r="AL23" i="2" s="1"/>
  <c r="AN23" i="2" s="1"/>
  <c r="AO23" i="2" s="1"/>
  <c r="AP23" i="2" s="1"/>
  <c r="AJ29" i="2"/>
  <c r="AL29" i="2" s="1"/>
  <c r="AN29" i="2" s="1"/>
  <c r="AO29" i="2" s="1"/>
  <c r="AP29" i="2" s="1"/>
  <c r="AJ35" i="2"/>
  <c r="AL35" i="2" s="1"/>
  <c r="AN35" i="2" s="1"/>
  <c r="AO35" i="2" s="1"/>
  <c r="AP35" i="2" s="1"/>
  <c r="AJ41" i="2"/>
  <c r="AL41" i="2" s="1"/>
  <c r="AN41" i="2" s="1"/>
  <c r="AO41" i="2" s="1"/>
  <c r="AP41" i="2" s="1"/>
  <c r="U8" i="2"/>
  <c r="W8" i="2" s="1"/>
  <c r="Y8" i="2" s="1"/>
  <c r="Z8" i="2" s="1"/>
  <c r="AA8" i="2" s="1"/>
  <c r="AX45" i="2"/>
  <c r="AZ45" i="2" s="1"/>
  <c r="BB45" i="2" s="1"/>
  <c r="BC45" i="2" s="1"/>
  <c r="BD45" i="2" s="1"/>
  <c r="U14" i="2"/>
  <c r="W14" i="2" s="1"/>
  <c r="Y14" i="2" s="1"/>
  <c r="Z14" i="2" s="1"/>
  <c r="AA14" i="2" s="1"/>
  <c r="U34" i="2"/>
  <c r="W34" i="2" s="1"/>
  <c r="Y34" i="2" s="1"/>
  <c r="Z34" i="2" s="1"/>
  <c r="AA34" i="2" s="1"/>
  <c r="AJ6" i="2"/>
  <c r="AL6" i="2" s="1"/>
  <c r="AN6" i="2" s="1"/>
  <c r="AO6" i="2" s="1"/>
  <c r="AP6" i="2" s="1"/>
  <c r="AJ12" i="2"/>
  <c r="AL12" i="2" s="1"/>
  <c r="AN12" i="2" s="1"/>
  <c r="AO12" i="2" s="1"/>
  <c r="AP12" i="2" s="1"/>
  <c r="AJ18" i="2"/>
  <c r="AL18" i="2" s="1"/>
  <c r="AN18" i="2" s="1"/>
  <c r="AO18" i="2" s="1"/>
  <c r="AP18" i="2" s="1"/>
  <c r="AJ24" i="2"/>
  <c r="AL24" i="2" s="1"/>
  <c r="AN24" i="2" s="1"/>
  <c r="AO24" i="2" s="1"/>
  <c r="AP24" i="2" s="1"/>
  <c r="AJ30" i="2"/>
  <c r="AL30" i="2" s="1"/>
  <c r="AN30" i="2" s="1"/>
  <c r="AO30" i="2" s="1"/>
  <c r="AP30" i="2" s="1"/>
  <c r="AJ36" i="2"/>
  <c r="AL36" i="2" s="1"/>
  <c r="AN36" i="2" s="1"/>
  <c r="AO36" i="2" s="1"/>
  <c r="AP36" i="2" s="1"/>
  <c r="AX13" i="2"/>
  <c r="AZ13" i="2" s="1"/>
  <c r="BB13" i="2" s="1"/>
  <c r="BC13" i="2" s="1"/>
  <c r="BD13" i="2" s="1"/>
  <c r="AX22" i="2"/>
  <c r="AZ22" i="2" s="1"/>
  <c r="BB22" i="2" s="1"/>
  <c r="BC22" i="2" s="1"/>
  <c r="BD22" i="2" s="1"/>
  <c r="AX31" i="2"/>
  <c r="AZ31" i="2" s="1"/>
  <c r="BB31" i="2" s="1"/>
  <c r="BC31" i="2" s="1"/>
  <c r="BD31" i="2" s="1"/>
  <c r="U20" i="2"/>
  <c r="W20" i="2" s="1"/>
  <c r="Y20" i="2" s="1"/>
  <c r="Z20" i="2" s="1"/>
  <c r="AA20" i="2" s="1"/>
  <c r="U40" i="2"/>
  <c r="W40" i="2" s="1"/>
  <c r="Y40" i="2" s="1"/>
  <c r="Z40" i="2" s="1"/>
  <c r="AA40" i="2" s="1"/>
  <c r="AJ43" i="2"/>
  <c r="AL43" i="2" s="1"/>
  <c r="AN43" i="2" s="1"/>
  <c r="AO43" i="2" s="1"/>
  <c r="AP43" i="2" s="1"/>
  <c r="K36" i="1"/>
  <c r="L36" i="1" s="1"/>
  <c r="BE6" i="2"/>
  <c r="BE7" i="2" s="1"/>
  <c r="BE8" i="2" s="1"/>
  <c r="BE9" i="2" s="1"/>
  <c r="N6" i="2"/>
  <c r="N7" i="2" s="1"/>
  <c r="N8" i="2" s="1"/>
  <c r="N9" i="2" s="1"/>
  <c r="N10" i="2" s="1"/>
  <c r="N11" i="2" s="1"/>
  <c r="N12" i="2" s="1"/>
  <c r="N13" i="2" s="1"/>
  <c r="N14" i="2" s="1"/>
  <c r="N15" i="2" s="1"/>
  <c r="N16" i="2" s="1"/>
  <c r="AB6" i="2"/>
  <c r="AB7" i="2" l="1"/>
  <c r="AB8" i="2" s="1"/>
  <c r="AB9" i="2" s="1"/>
  <c r="AB10" i="2" s="1"/>
  <c r="AB11" i="2" s="1"/>
  <c r="AB12" i="2" s="1"/>
  <c r="AB13" i="2" s="1"/>
  <c r="AB14" i="2" s="1"/>
  <c r="AB15" i="2" s="1"/>
  <c r="AB16" i="2" s="1"/>
  <c r="AB17" i="2" s="1"/>
  <c r="AB18" i="2" s="1"/>
  <c r="AB19" i="2" s="1"/>
  <c r="AB20" i="2" s="1"/>
  <c r="AB21" i="2" s="1"/>
  <c r="AB22" i="2" s="1"/>
  <c r="BE10" i="2"/>
  <c r="BE11" i="2" s="1"/>
  <c r="BE12" i="2" s="1"/>
  <c r="BE13" i="2" s="1"/>
  <c r="BE14" i="2" s="1"/>
  <c r="BE15" i="2" s="1"/>
  <c r="BE16" i="2" s="1"/>
  <c r="BE17" i="2" s="1"/>
  <c r="BE18" i="2" s="1"/>
  <c r="BE19" i="2" s="1"/>
  <c r="BE20" i="2" s="1"/>
  <c r="BE21" i="2" s="1"/>
  <c r="BE22" i="2" s="1"/>
  <c r="BE23" i="2" s="1"/>
  <c r="BE24" i="2" s="1"/>
  <c r="BE25" i="2" s="1"/>
  <c r="BE26" i="2" s="1"/>
  <c r="BE27" i="2" s="1"/>
  <c r="BE28" i="2" s="1"/>
  <c r="AQ6" i="2"/>
  <c r="AQ7" i="2" s="1"/>
  <c r="AQ8" i="2" s="1"/>
  <c r="AQ9" i="2" s="1"/>
  <c r="AQ10" i="2" s="1"/>
  <c r="AQ11" i="2" s="1"/>
  <c r="AQ12" i="2" s="1"/>
  <c r="AQ13" i="2" s="1"/>
  <c r="AQ14" i="2" s="1"/>
  <c r="AQ15" i="2" s="1"/>
  <c r="AQ16" i="2" s="1"/>
  <c r="N17" i="2"/>
  <c r="N18" i="2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BE29" i="2" l="1"/>
  <c r="BE30" i="2" s="1"/>
  <c r="BE31" i="2" s="1"/>
  <c r="BE32" i="2" s="1"/>
  <c r="BE33" i="2" s="1"/>
  <c r="BE34" i="2" s="1"/>
  <c r="BE35" i="2" s="1"/>
  <c r="BE36" i="2" s="1"/>
  <c r="BE37" i="2" s="1"/>
  <c r="BE38" i="2" s="1"/>
  <c r="BE39" i="2" s="1"/>
  <c r="BE40" i="2" s="1"/>
  <c r="BE41" i="2" s="1"/>
  <c r="BE42" i="2" s="1"/>
  <c r="BE43" i="2" s="1"/>
  <c r="BE44" i="2" s="1"/>
  <c r="BE45" i="2" s="1"/>
  <c r="AQ17" i="2"/>
  <c r="AQ18" i="2" s="1"/>
  <c r="AQ19" i="2" s="1"/>
  <c r="AQ20" i="2" s="1"/>
  <c r="AQ21" i="2" s="1"/>
  <c r="AQ22" i="2" s="1"/>
  <c r="AQ23" i="2" s="1"/>
  <c r="AQ24" i="2" s="1"/>
  <c r="AQ25" i="2" s="1"/>
  <c r="AQ26" i="2" s="1"/>
  <c r="AQ27" i="2" s="1"/>
  <c r="AQ28" i="2" s="1"/>
  <c r="AQ29" i="2" s="1"/>
  <c r="AQ30" i="2" s="1"/>
  <c r="AQ31" i="2" s="1"/>
  <c r="AQ32" i="2" s="1"/>
  <c r="AQ33" i="2" s="1"/>
  <c r="AQ34" i="2" s="1"/>
  <c r="AQ35" i="2" s="1"/>
  <c r="AQ36" i="2" s="1"/>
  <c r="AQ37" i="2" s="1"/>
  <c r="AQ38" i="2" s="1"/>
  <c r="AQ39" i="2" s="1"/>
  <c r="AQ40" i="2" s="1"/>
  <c r="AQ41" i="2" s="1"/>
  <c r="AQ42" i="2" s="1"/>
  <c r="AQ43" i="2" s="1"/>
  <c r="AQ44" i="2" s="1"/>
  <c r="AQ45" i="2" s="1"/>
  <c r="AB23" i="2"/>
  <c r="AB24" i="2" s="1"/>
  <c r="AB25" i="2" s="1"/>
  <c r="AB26" i="2" s="1"/>
  <c r="AB27" i="2" s="1"/>
  <c r="AB28" i="2" s="1"/>
  <c r="AB29" i="2" s="1"/>
  <c r="AB30" i="2" s="1"/>
  <c r="AB31" i="2" s="1"/>
  <c r="AB32" i="2" s="1"/>
  <c r="AB33" i="2" s="1"/>
  <c r="AB34" i="2" s="1"/>
  <c r="AB35" i="2" s="1"/>
  <c r="AB36" i="2" s="1"/>
  <c r="AB37" i="2" s="1"/>
  <c r="AB38" i="2" s="1"/>
  <c r="AB39" i="2" s="1"/>
  <c r="AB40" i="2" s="1"/>
  <c r="AB41" i="2" s="1"/>
  <c r="AB42" i="2" s="1"/>
  <c r="AB43" i="2" s="1"/>
  <c r="AB44" i="2" s="1"/>
  <c r="AB45" i="2" s="1"/>
  <c r="AY47" i="2" l="1"/>
  <c r="H10" i="1"/>
  <c r="G18" i="1"/>
  <c r="G22" i="1" s="1"/>
  <c r="E22" i="1"/>
  <c r="G17" i="1"/>
  <c r="G21" i="1" s="1"/>
  <c r="G26" i="1" s="1"/>
  <c r="G31" i="1" s="1"/>
  <c r="F17" i="1"/>
  <c r="F21" i="1" s="1"/>
  <c r="F25" i="1" s="1"/>
  <c r="F22" i="1" l="1"/>
  <c r="H17" i="1"/>
  <c r="H19" i="1"/>
  <c r="F30" i="1"/>
  <c r="F26" i="1"/>
  <c r="F31" i="1" s="1"/>
  <c r="H21" i="1"/>
  <c r="H18" i="1"/>
  <c r="H22" i="1" s="1"/>
  <c r="K22" i="1" s="1"/>
  <c r="K17" i="1"/>
  <c r="G25" i="1"/>
  <c r="G30" i="1" s="1"/>
  <c r="G32" i="1" s="1"/>
  <c r="G38" i="1" s="1"/>
  <c r="G44" i="1" l="1"/>
  <c r="G41" i="1"/>
  <c r="H23" i="1"/>
  <c r="K19" i="1"/>
  <c r="K18" i="1"/>
  <c r="E38" i="1"/>
  <c r="F32" i="1"/>
  <c r="F38" i="1" s="1"/>
  <c r="K21" i="1"/>
  <c r="H26" i="1"/>
  <c r="H31" i="1" s="1"/>
  <c r="H25" i="1"/>
  <c r="H30" i="1" s="1"/>
  <c r="E41" i="1" l="1"/>
  <c r="E44" i="1"/>
  <c r="K25" i="1"/>
  <c r="F44" i="1"/>
  <c r="F41" i="1"/>
  <c r="K26" i="1"/>
  <c r="H27" i="1"/>
  <c r="K23" i="1"/>
  <c r="L22" i="1" s="1"/>
  <c r="I38" i="1"/>
  <c r="K31" i="1"/>
  <c r="L31" i="1" s="1"/>
  <c r="H32" i="1"/>
  <c r="K30" i="1"/>
  <c r="L30" i="1" s="1"/>
  <c r="H34" i="1" l="1"/>
  <c r="K34" i="1" s="1"/>
  <c r="L34" i="1" s="1"/>
  <c r="K27" i="1"/>
  <c r="I44" i="1"/>
  <c r="I41" i="1"/>
  <c r="K32" i="1"/>
  <c r="L32" i="1" s="1"/>
  <c r="H38" i="1" l="1"/>
  <c r="H44" i="1" l="1"/>
  <c r="K44" i="1" s="1"/>
  <c r="L44" i="1" s="1"/>
  <c r="H41" i="1"/>
  <c r="K41" i="1" s="1"/>
  <c r="L41" i="1" s="1"/>
  <c r="K38" i="1"/>
  <c r="L38" i="1" s="1"/>
</calcChain>
</file>

<file path=xl/sharedStrings.xml><?xml version="1.0" encoding="utf-8"?>
<sst xmlns="http://schemas.openxmlformats.org/spreadsheetml/2006/main" count="351" uniqueCount="141">
  <si>
    <t>Tmagma</t>
  </si>
  <si>
    <t>MORB Fast</t>
  </si>
  <si>
    <t>MORB Slow</t>
  </si>
  <si>
    <t>ARC</t>
  </si>
  <si>
    <t>BASC</t>
  </si>
  <si>
    <t>Crustal Thickness</t>
  </si>
  <si>
    <t>Fraction MagmaticRocks</t>
  </si>
  <si>
    <t>Heat of Cryst</t>
  </si>
  <si>
    <t>[°C]</t>
  </si>
  <si>
    <t>[km]</t>
  </si>
  <si>
    <t>[]</t>
  </si>
  <si>
    <t>[kJ/kg]</t>
  </si>
  <si>
    <t>Length Boundary</t>
  </si>
  <si>
    <t>[km/Ma]</t>
  </si>
  <si>
    <t>[km3/a]</t>
  </si>
  <si>
    <t>Density</t>
  </si>
  <si>
    <t>MagmaVolumeProd</t>
  </si>
  <si>
    <t>[kg/a]</t>
  </si>
  <si>
    <t>Heat Cryst</t>
  </si>
  <si>
    <t>HeatCooling</t>
  </si>
  <si>
    <t>Cp</t>
  </si>
  <si>
    <t>Power</t>
  </si>
  <si>
    <t>Power Cryst</t>
  </si>
  <si>
    <t>Power cooling</t>
  </si>
  <si>
    <t>Power total</t>
  </si>
  <si>
    <t>[W]</t>
  </si>
  <si>
    <t>TW</t>
  </si>
  <si>
    <t>Sum</t>
  </si>
  <si>
    <t>Density Magmatic</t>
  </si>
  <si>
    <t>Density Non Magmatic</t>
  </si>
  <si>
    <t>Magmatic MassProd</t>
  </si>
  <si>
    <t>Non Magmatic Mass Prod</t>
  </si>
  <si>
    <t>NonMagmatic Volume Production</t>
  </si>
  <si>
    <t>[kg/km3]</t>
  </si>
  <si>
    <t>Power Conductive</t>
  </si>
  <si>
    <t>E</t>
  </si>
  <si>
    <t>length boundary</t>
  </si>
  <si>
    <t>PowerCumulated</t>
  </si>
  <si>
    <t>Spreading Rate Global</t>
  </si>
  <si>
    <t>Predicted heat flow</t>
  </si>
  <si>
    <t>C</t>
  </si>
  <si>
    <t>t [Ma]</t>
  </si>
  <si>
    <t>Slow-Ultra slow</t>
  </si>
  <si>
    <t>Intermediate-Fast</t>
  </si>
  <si>
    <t>Arcs</t>
  </si>
  <si>
    <t>Power remaining</t>
  </si>
  <si>
    <t>Thickness Extrusives</t>
  </si>
  <si>
    <t>Extrusives Volume Production</t>
  </si>
  <si>
    <t>Extrusives Mass Production</t>
  </si>
  <si>
    <t>Heat of Extrusives</t>
  </si>
  <si>
    <t>Power Extrusives</t>
  </si>
  <si>
    <t>Likely  Power Hydrothermal Cooling</t>
  </si>
  <si>
    <t>Maximum Power for Hydrothermal</t>
  </si>
  <si>
    <t>Minimum Power for Hydrothermal Cooling</t>
  </si>
  <si>
    <t>[kJ/kg/K]</t>
  </si>
  <si>
    <t>[kJ/a]</t>
  </si>
  <si>
    <t>Spreading Rate Boundary (length-weighted)</t>
  </si>
  <si>
    <t>J/kg*K</t>
  </si>
  <si>
    <t>Average low T</t>
  </si>
  <si>
    <t>T K</t>
  </si>
  <si>
    <t>T °C</t>
  </si>
  <si>
    <t>Peridotite</t>
  </si>
  <si>
    <t>spinel</t>
  </si>
  <si>
    <t xml:space="preserve">diopside </t>
  </si>
  <si>
    <t xml:space="preserve">ferrosillite </t>
  </si>
  <si>
    <t>enstatite</t>
  </si>
  <si>
    <t xml:space="preserve">fayalite </t>
  </si>
  <si>
    <t xml:space="preserve">forsterite   </t>
  </si>
  <si>
    <t>SP</t>
  </si>
  <si>
    <t>CPX</t>
  </si>
  <si>
    <t>OPX</t>
  </si>
  <si>
    <t>Ol</t>
  </si>
  <si>
    <t>Average low T 0-300°C</t>
  </si>
  <si>
    <t>Gabbro</t>
  </si>
  <si>
    <t>anorthite</t>
  </si>
  <si>
    <t>albite</t>
  </si>
  <si>
    <t>Plag</t>
  </si>
  <si>
    <t>Model rock composition</t>
  </si>
  <si>
    <r>
      <t>C</t>
    </r>
    <r>
      <rPr>
        <b/>
        <vertAlign val="subscript"/>
        <sz val="14"/>
        <color theme="1"/>
        <rFont val="Calibri"/>
        <family val="2"/>
        <scheme val="minor"/>
      </rPr>
      <t>P</t>
    </r>
    <r>
      <rPr>
        <b/>
        <sz val="14"/>
        <color theme="1"/>
        <rFont val="Calibri"/>
        <family val="2"/>
        <scheme val="minor"/>
      </rPr>
      <t xml:space="preserve"> Peridotite</t>
    </r>
  </si>
  <si>
    <r>
      <t>C</t>
    </r>
    <r>
      <rPr>
        <b/>
        <vertAlign val="subscript"/>
        <sz val="14"/>
        <color theme="1"/>
        <rFont val="Calibri"/>
        <family val="2"/>
        <scheme val="minor"/>
      </rPr>
      <t>P</t>
    </r>
    <r>
      <rPr>
        <b/>
        <sz val="14"/>
        <color theme="1"/>
        <rFont val="Calibri"/>
        <family val="2"/>
        <scheme val="minor"/>
      </rPr>
      <t xml:space="preserve"> Gabbro</t>
    </r>
  </si>
  <si>
    <t>Equation:</t>
  </si>
  <si>
    <r>
      <t>C</t>
    </r>
    <r>
      <rPr>
        <b/>
        <vertAlign val="subscript"/>
        <sz val="11"/>
        <color theme="1"/>
        <rFont val="Calibri"/>
        <family val="2"/>
        <scheme val="minor"/>
      </rPr>
      <t xml:space="preserve">p </t>
    </r>
    <r>
      <rPr>
        <b/>
        <sz val="11"/>
        <color theme="1"/>
        <rFont val="Calibri"/>
        <family val="2"/>
        <scheme val="minor"/>
      </rPr>
      <t>[J/mol/K]=A</t>
    </r>
    <r>
      <rPr>
        <b/>
        <vertAlign val="sub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+ A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*T + A</t>
    </r>
    <r>
      <rPr>
        <b/>
        <vertAlign val="sub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>*T</t>
    </r>
    <r>
      <rPr>
        <b/>
        <vertAlign val="superscript"/>
        <sz val="11"/>
        <color theme="1"/>
        <rFont val="Calibri"/>
        <family val="2"/>
        <scheme val="minor"/>
      </rPr>
      <t>-2</t>
    </r>
    <r>
      <rPr>
        <b/>
        <sz val="11"/>
        <color theme="1"/>
        <rFont val="Calibri"/>
        <family val="2"/>
        <scheme val="minor"/>
      </rPr>
      <t xml:space="preserve"> + A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>* T</t>
    </r>
    <r>
      <rPr>
        <b/>
        <vertAlign val="superscript"/>
        <sz val="11"/>
        <color theme="1"/>
        <rFont val="Calibri"/>
        <family val="2"/>
        <scheme val="minor"/>
      </rPr>
      <t>-0.5</t>
    </r>
    <r>
      <rPr>
        <b/>
        <sz val="11"/>
        <color theme="1"/>
        <rFont val="Calibri"/>
        <family val="2"/>
        <scheme val="minor"/>
      </rPr>
      <t xml:space="preserve"> + A</t>
    </r>
    <r>
      <rPr>
        <b/>
        <vertAlign val="subscript"/>
        <sz val="11"/>
        <color theme="1"/>
        <rFont val="Calibri"/>
        <family val="2"/>
        <scheme val="minor"/>
      </rPr>
      <t>5</t>
    </r>
    <r>
      <rPr>
        <b/>
        <sz val="11"/>
        <color theme="1"/>
        <rFont val="Calibri"/>
        <family val="2"/>
        <scheme val="minor"/>
      </rPr>
      <t>*T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</si>
  <si>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A1</t>
  </si>
  <si>
    <t>A2</t>
  </si>
  <si>
    <t>A3</t>
  </si>
  <si>
    <t>A4</t>
  </si>
  <si>
    <t>A5</t>
  </si>
  <si>
    <t>Fraction weight</t>
  </si>
  <si>
    <r>
      <t>Coefficients for C</t>
    </r>
    <r>
      <rPr>
        <b/>
        <vertAlign val="subscript"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after Robie &amp; Hemingway 1996, Thermodynamic Properties of Minerals and Related Substances at 298.15 K and 1 Bar Pressure and at Higher Temperatures. U.S. Geol. Survey, Washington DC, Bulletin 2131.</t>
    </r>
  </si>
  <si>
    <t>Average all</t>
  </si>
  <si>
    <t>Power remaining in oceancrust (Fast Spreading)</t>
  </si>
  <si>
    <t>Hydrothermal penetration depth likely</t>
  </si>
  <si>
    <t>Hydrothermal penetration depth minimum</t>
  </si>
  <si>
    <t>Hydrothermal penetration depth:</t>
  </si>
  <si>
    <t>Power remaining in oceancrust (Slow Spreading)</t>
  </si>
  <si>
    <t>Power remaining in oceancrust (BASC)</t>
  </si>
  <si>
    <t>Power remaining in oceancrust (Arc)</t>
  </si>
  <si>
    <t>km</t>
  </si>
  <si>
    <t>Depths</t>
  </si>
  <si>
    <t>°C</t>
  </si>
  <si>
    <r>
      <t>T</t>
    </r>
    <r>
      <rPr>
        <vertAlign val="subscript"/>
        <sz val="11"/>
        <color theme="1"/>
        <rFont val="Calibri"/>
        <family val="2"/>
        <scheme val="minor"/>
      </rPr>
      <t>final</t>
    </r>
  </si>
  <si>
    <t>Δdepth</t>
  </si>
  <si>
    <t>[J/kg/K]</t>
  </si>
  <si>
    <r>
      <t>[kg/km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]</t>
    </r>
  </si>
  <si>
    <r>
      <t>[J/km</t>
    </r>
    <r>
      <rPr>
        <vertAlign val="superscript"/>
        <sz val="11"/>
        <color theme="1"/>
        <rFont val="Calibri"/>
        <family val="2"/>
        <scheme val="minor"/>
      </rPr>
      <t>2]</t>
    </r>
  </si>
  <si>
    <t>[J/km]</t>
  </si>
  <si>
    <t>[J/Ma]</t>
  </si>
  <si>
    <t>[TW]</t>
  </si>
  <si>
    <t>Effective Heatflow</t>
  </si>
  <si>
    <t>Globally binned heatflow dataset</t>
  </si>
  <si>
    <t>after: Hasterok et al., 2011. Oceanic heat flow: Implications for global heat loss. Earth and Planetary Science Letters 311. p. 386-395.</t>
  </si>
  <si>
    <t>after: Davies &amp; Davies, 2010. Earth’s surface heat flux. Solid Earth, 1, p. 5-24.</t>
  </si>
  <si>
    <r>
      <t>q</t>
    </r>
    <r>
      <rPr>
        <b/>
        <vertAlign val="subscript"/>
        <sz val="11"/>
        <color theme="1"/>
        <rFont val="Calibri"/>
        <family val="2"/>
        <scheme val="minor"/>
      </rPr>
      <t>unfiltered</t>
    </r>
    <r>
      <rPr>
        <b/>
        <sz val="11"/>
        <color theme="1"/>
        <rFont val="Calibri"/>
        <family val="2"/>
        <scheme val="minor"/>
      </rPr>
      <t xml:space="preserve"> [mW/m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]</t>
    </r>
  </si>
  <si>
    <r>
      <t>q</t>
    </r>
    <r>
      <rPr>
        <b/>
        <vertAlign val="subscript"/>
        <sz val="11"/>
        <color theme="1"/>
        <rFont val="Calibri"/>
        <family val="2"/>
        <scheme val="minor"/>
      </rPr>
      <t>predicted</t>
    </r>
    <r>
      <rPr>
        <b/>
        <sz val="11"/>
        <color theme="1"/>
        <rFont val="Calibri"/>
        <family val="2"/>
        <scheme val="minor"/>
      </rPr>
      <t xml:space="preserve"> [mW/m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]</t>
    </r>
  </si>
  <si>
    <r>
      <t>q</t>
    </r>
    <r>
      <rPr>
        <b/>
        <vertAlign val="subscript"/>
        <sz val="11"/>
        <color theme="1"/>
        <rFont val="Calibri"/>
        <family val="2"/>
        <scheme val="minor"/>
      </rPr>
      <t>effective</t>
    </r>
    <r>
      <rPr>
        <b/>
        <sz val="11"/>
        <color theme="1"/>
        <rFont val="Calibri"/>
        <family val="2"/>
        <scheme val="minor"/>
      </rPr>
      <t xml:space="preserve"> [mW/m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]</t>
    </r>
  </si>
  <si>
    <r>
      <t>q</t>
    </r>
    <r>
      <rPr>
        <b/>
        <vertAlign val="subscript"/>
        <sz val="11"/>
        <color theme="1"/>
        <rFont val="Calibri"/>
        <family val="2"/>
        <scheme val="minor"/>
      </rPr>
      <t>hydro</t>
    </r>
    <r>
      <rPr>
        <b/>
        <sz val="11"/>
        <color theme="1"/>
        <rFont val="Calibri"/>
        <family val="2"/>
        <scheme val="minor"/>
      </rPr>
      <t xml:space="preserve"> [mW/m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]</t>
    </r>
  </si>
  <si>
    <r>
      <t>q</t>
    </r>
    <r>
      <rPr>
        <b/>
        <vertAlign val="subscript"/>
        <sz val="11"/>
        <color theme="1"/>
        <rFont val="Calibri"/>
        <family val="2"/>
        <scheme val="minor"/>
      </rPr>
      <t>Cond</t>
    </r>
    <r>
      <rPr>
        <b/>
        <sz val="11"/>
        <color theme="1"/>
        <rFont val="Calibri"/>
        <family val="2"/>
        <scheme val="minor"/>
      </rPr>
      <t xml:space="preserve"> [mW/m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]</t>
    </r>
  </si>
  <si>
    <r>
      <t>q</t>
    </r>
    <r>
      <rPr>
        <b/>
        <vertAlign val="subscript"/>
        <sz val="11"/>
        <color theme="1"/>
        <rFont val="Calibri"/>
        <family val="2"/>
        <scheme val="minor"/>
      </rPr>
      <t>hyd</t>
    </r>
    <r>
      <rPr>
        <b/>
        <sz val="11"/>
        <color theme="1"/>
        <rFont val="Calibri"/>
        <family val="2"/>
        <scheme val="minor"/>
      </rPr>
      <t xml:space="preserve"> [mW/m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]</t>
    </r>
  </si>
  <si>
    <r>
      <t>Δ</t>
    </r>
    <r>
      <rPr>
        <b/>
        <sz val="12.65"/>
        <color theme="1"/>
        <rFont val="Calibri"/>
        <family val="2"/>
      </rPr>
      <t>t [Ma]</t>
    </r>
  </si>
  <si>
    <r>
      <t>l</t>
    </r>
    <r>
      <rPr>
        <b/>
        <vertAlign val="subscript"/>
        <sz val="11"/>
        <color theme="1"/>
        <rFont val="Calibri"/>
        <family val="2"/>
        <scheme val="minor"/>
      </rPr>
      <t>bound</t>
    </r>
    <r>
      <rPr>
        <b/>
        <sz val="11"/>
        <color theme="1"/>
        <rFont val="Calibri"/>
        <family val="2"/>
        <scheme val="minor"/>
      </rPr>
      <t xml:space="preserve"> [km]</t>
    </r>
  </si>
  <si>
    <r>
      <t>v</t>
    </r>
    <r>
      <rPr>
        <b/>
        <vertAlign val="subscript"/>
        <sz val="11"/>
        <color theme="1"/>
        <rFont val="Calibri"/>
        <family val="2"/>
        <scheme val="minor"/>
      </rPr>
      <t>spread</t>
    </r>
    <r>
      <rPr>
        <b/>
        <sz val="11"/>
        <color theme="1"/>
        <rFont val="Calibri"/>
        <family val="2"/>
        <scheme val="minor"/>
      </rPr>
      <t xml:space="preserve"> [km/Ma]</t>
    </r>
  </si>
  <si>
    <r>
      <t>A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[km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]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</si>
  <si>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cond</t>
    </r>
    <r>
      <rPr>
        <b/>
        <sz val="11"/>
        <color theme="1"/>
        <rFont val="Calibri"/>
        <family val="2"/>
        <scheme val="minor"/>
      </rPr>
      <t xml:space="preserve"> [TW]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</si>
  <si>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cond,cumul</t>
    </r>
    <r>
      <rPr>
        <b/>
        <sz val="11"/>
        <color theme="1"/>
        <rFont val="Calibri"/>
        <family val="2"/>
        <scheme val="minor"/>
      </rPr>
      <t xml:space="preserve"> [TW]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</si>
  <si>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hyd</t>
    </r>
    <r>
      <rPr>
        <b/>
        <sz val="11"/>
        <color theme="1"/>
        <rFont val="Calibri"/>
        <family val="2"/>
        <scheme val="minor"/>
      </rPr>
      <t xml:space="preserve"> [TW]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</si>
  <si>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hyd,cumul</t>
    </r>
    <r>
      <rPr>
        <b/>
        <sz val="11"/>
        <color theme="1"/>
        <rFont val="Calibri"/>
        <family val="2"/>
        <scheme val="minor"/>
      </rPr>
      <t xml:space="preserve"> [TW]</t>
    </r>
  </si>
  <si>
    <t>Power conductive 0-1Ma</t>
  </si>
  <si>
    <t>Power hydrothermal 0-1Ma</t>
  </si>
  <si>
    <t>Comments</t>
  </si>
  <si>
    <t>MOR+BASC</t>
  </si>
  <si>
    <t>Lengths: Beaulieu, S. E., Baker, E. T., German, C. R., &amp; Maffei, A. (2013). An authoritative global database for active submarine hydrothermal vent fields. Geochemistry, Geophysics, Geosystems, 14(11), 4892-4905. doi:10.1002/2013gc004998; Beaulieu, S. E., Baker, E. T., &amp; German, C. R. (2015). Where are the undiscovered hydrothermal vents on oceanic spreading ridges? Deep Sea Research Part II: Topical Studies in Oceanography, 121, 202-212. doi:10.1016/j.dsr2.2015.05.001 ; de Ronde, C. E. J. and V. K. Stucker (2015). Seafloor Hydrothermal Venting at Volcanic Arcs and Backarcs. The Encyclopedia of Volcanoes: 823-849.</t>
  </si>
  <si>
    <t>Spreading rates: Beaulieu, S. E., Baker, E. T., German, C. R., &amp; Maffei, A. (2013). An authoritative global database for active submarine hydrothermal vent fields. Geochemistry, Geophysics, Geosystems, 14(11), 4892-4905. doi:10.1002/2013gc004998; Beaulieu, S. E., Baker, E. T., &amp; German, C. R. (2015). Where are the undiscovered hydrothermal vents on oceanic spreading ridges? Deep Sea Research Part II: Topical Studies in Oceanography, 121, 202-212. doi:10.1016/j.dsr2.2015.05.001.</t>
  </si>
  <si>
    <t>Spreading rate arcs: only formally calculated from magma production rates given in: Jicha, B. R., &amp; Jagoutz, O. (2015). Magma Production Rates for Intraoceanic Arcs. Elements, 11(2), 105-111. doi:10.2113/gselements.11.2.105</t>
  </si>
  <si>
    <t>Heat of crystallization after: Fukuyama, H. (1985). "Heat of fusion of basaltic magma." Earth and Planetary Science Letters 73(2-4): 407-414.</t>
  </si>
  <si>
    <t>(see sheet: Cp_Rocks)</t>
  </si>
  <si>
    <t>(see sheet: Power Remaining)</t>
  </si>
  <si>
    <t>(see sheet: Power Conductive)</t>
  </si>
  <si>
    <t>Global crust vol. prod.</t>
  </si>
  <si>
    <t>Global crust mass prod.</t>
  </si>
  <si>
    <t>Thickness Layer 2A at MOR: after Estep, J., et al. (2019). "Seismic Layer 2A: Evolution and Thickness From 0‐ to 70‐Ma Crust in the Slow‐Intermediate Spreading South Atlantic." Journal of Geophysical Research: Solid Earth 124(8): 7633-7651.</t>
  </si>
  <si>
    <t>Crustal Thickness after:  Estep, J., et al. (2019). "Seismic Layer 2A: Evolution and Thickness From 0‐ to 70‐Ma Crust in the Slow‐Intermediate Spreading South Atlantic." Journal of Geophysical Research: Solid Earth 124(8): 7633-7651; Niu, X., et al. (2015). "Along‐axis variation in crustal thickness at the ultraslow spreading Southwest Indian Ridge (50°E) from a wide‐angle seismic experiment." Geochemistry, Geophysics, Geosystems 16(2): 468-485; Jicha, B. R. and O. Jagoutz (2015). "Magma Production Rates for Intraoceanic Arcs." Elements 11(2): 105-111; Aghaei, O., et al. (2014). "Crustal thickness and Moho character of the fast‐spreading East Pacific Rise from 9°42′N to 9°57′N from poststack‐migrated 3‐D MCS data." Geochemistry, Geophysics, Geosystems 15(3): 634-657.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</si>
</sst>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2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bscript"/>
      <sz val="14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2.65"/>
      <color theme="1"/>
      <name val="Calibri"/>
      <family val="2"/>
    </font>
    <font>
      <sz val="11"/>
      <color theme="0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/>
    <xf numFmtId="11" fontId="0" fillId="0" borderId="0" xfId="0" applyNumberFormat="1"/>
    <xf numFmtId="11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0" xfId="0" applyNumberFormat="1"/>
    <xf numFmtId="0" fontId="0" fillId="0" borderId="0" xfId="0" applyAlignment="1">
      <alignment vertical="center" wrapText="1"/>
    </xf>
    <xf numFmtId="0" fontId="2" fillId="0" borderId="0" xfId="0" applyFont="1"/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4" fillId="0" borderId="0" xfId="0" applyFont="1" applyBorder="1"/>
    <xf numFmtId="11" fontId="0" fillId="0" borderId="0" xfId="0" applyNumberFormat="1" applyBorder="1"/>
    <xf numFmtId="2" fontId="0" fillId="0" borderId="0" xfId="0" applyNumberFormat="1" applyBorder="1"/>
    <xf numFmtId="164" fontId="0" fillId="0" borderId="0" xfId="0" applyNumberFormat="1" applyBorder="1"/>
    <xf numFmtId="1" fontId="4" fillId="0" borderId="0" xfId="0" applyNumberFormat="1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1" fontId="0" fillId="0" borderId="7" xfId="0" applyNumberFormat="1" applyBorder="1"/>
    <xf numFmtId="2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Fill="1" applyBorder="1"/>
    <xf numFmtId="2" fontId="0" fillId="0" borderId="0" xfId="0" applyNumberForma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4" fillId="0" borderId="1" xfId="0" applyFont="1" applyBorder="1"/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11" fontId="0" fillId="0" borderId="0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11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1" fontId="4" fillId="0" borderId="0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1" fontId="0" fillId="0" borderId="5" xfId="0" applyNumberFormat="1" applyBorder="1"/>
    <xf numFmtId="0" fontId="4" fillId="0" borderId="7" xfId="0" applyFont="1" applyBorder="1"/>
    <xf numFmtId="2" fontId="4" fillId="0" borderId="7" xfId="0" applyNumberFormat="1" applyFont="1" applyBorder="1"/>
    <xf numFmtId="2" fontId="4" fillId="0" borderId="8" xfId="0" applyNumberFormat="1" applyFont="1" applyBorder="1"/>
    <xf numFmtId="11" fontId="4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1" fontId="0" fillId="0" borderId="0" xfId="0" applyNumberFormat="1" applyFont="1" applyAlignment="1">
      <alignment horizontal="center" vertical="center"/>
    </xf>
    <xf numFmtId="11" fontId="0" fillId="0" borderId="0" xfId="0" applyNumberFormat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1" fontId="0" fillId="0" borderId="13" xfId="0" applyNumberFormat="1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2" fontId="11" fillId="0" borderId="0" xfId="0" applyNumberFormat="1" applyFont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2" fontId="0" fillId="0" borderId="4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1" fontId="0" fillId="0" borderId="0" xfId="0" applyNumberFormat="1" applyFont="1" applyBorder="1" applyAlignment="1">
      <alignment horizontal="center" vertical="center"/>
    </xf>
    <xf numFmtId="11" fontId="0" fillId="0" borderId="0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Cp_Rocks!$E$20</c:f>
              <c:strCache>
                <c:ptCount val="1"/>
                <c:pt idx="0">
                  <c:v>forsterite   </c:v>
                </c:pt>
              </c:strCache>
            </c:strRef>
          </c:tx>
          <c:spPr>
            <a:ln w="2540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Cp_Rocks!$C$22:$C$48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Cp_Rocks!$E$22:$E$48</c:f>
              <c:numCache>
                <c:formatCode>0.0</c:formatCode>
                <c:ptCount val="27"/>
                <c:pt idx="0">
                  <c:v>788.74688213245622</c:v>
                </c:pt>
                <c:pt idx="1">
                  <c:v>886.3513781961932</c:v>
                </c:pt>
                <c:pt idx="2">
                  <c:v>951.59766361346226</c:v>
                </c:pt>
                <c:pt idx="3">
                  <c:v>999.31848509537349</c:v>
                </c:pt>
                <c:pt idx="4">
                  <c:v>1036.7351821809104</c:v>
                </c:pt>
                <c:pt idx="5">
                  <c:v>1067.6667714399878</c:v>
                </c:pt>
                <c:pt idx="6">
                  <c:v>1094.2650488020338</c:v>
                </c:pt>
                <c:pt idx="7">
                  <c:v>1117.8043728251912</c:v>
                </c:pt>
                <c:pt idx="8">
                  <c:v>1139.0702128051162</c:v>
                </c:pt>
                <c:pt idx="9">
                  <c:v>1158.5626608585637</c:v>
                </c:pt>
                <c:pt idx="10">
                  <c:v>1176.6086696046432</c:v>
                </c:pt>
                <c:pt idx="11">
                  <c:v>1193.4266839602235</c:v>
                </c:pt>
                <c:pt idx="12">
                  <c:v>1209.1652490154218</c:v>
                </c:pt>
                <c:pt idx="13">
                  <c:v>1223.9268096611409</c:v>
                </c:pt>
                <c:pt idx="14">
                  <c:v>1237.7827870110905</c:v>
                </c:pt>
                <c:pt idx="15">
                  <c:v>1250.7833586746526</c:v>
                </c:pt>
                <c:pt idx="16">
                  <c:v>1262.963937118843</c:v>
                </c:pt>
                <c:pt idx="17">
                  <c:v>1274.3495405541332</c:v>
                </c:pt>
                <c:pt idx="18">
                  <c:v>1284.9577903205916</c:v>
                </c:pt>
                <c:pt idx="19">
                  <c:v>1294.8009962577316</c:v>
                </c:pt>
                <c:pt idx="20">
                  <c:v>1303.887626251993</c:v>
                </c:pt>
                <c:pt idx="21">
                  <c:v>1312.2233536366396</c:v>
                </c:pt>
                <c:pt idx="22">
                  <c:v>1319.811811236814</c:v>
                </c:pt>
                <c:pt idx="23">
                  <c:v>1326.6551390295995</c:v>
                </c:pt>
                <c:pt idx="24">
                  <c:v>1332.7543849744868</c:v>
                </c:pt>
                <c:pt idx="25">
                  <c:v>1338.1098003217767</c:v>
                </c:pt>
                <c:pt idx="26">
                  <c:v>1342.7210583876024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098-40E2-90CE-822DAB964B27}"/>
            </c:ext>
          </c:extLst>
        </c:ser>
        <c:ser>
          <c:idx val="1"/>
          <c:order val="1"/>
          <c:tx>
            <c:strRef>
              <c:f>Cp_Rocks!$F$20</c:f>
              <c:strCache>
                <c:ptCount val="1"/>
                <c:pt idx="0">
                  <c:v>fayalite </c:v>
                </c:pt>
              </c:strCache>
            </c:strRef>
          </c:tx>
          <c:spPr>
            <a:ln w="25400" cap="rnd">
              <a:solidFill>
                <a:schemeClr val="accent2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Cp_Rocks!$C$22:$C$48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Cp_Rocks!$F$22:$F$48</c:f>
              <c:numCache>
                <c:formatCode>0.0</c:formatCode>
                <c:ptCount val="27"/>
                <c:pt idx="0">
                  <c:v>605.26674972654757</c:v>
                </c:pt>
                <c:pt idx="1">
                  <c:v>679.75515586457323</c:v>
                </c:pt>
                <c:pt idx="2">
                  <c:v>727.51330221068895</c:v>
                </c:pt>
                <c:pt idx="3">
                  <c:v>760.6586666036925</c:v>
                </c:pt>
                <c:pt idx="4">
                  <c:v>785.26916862070277</c:v>
                </c:pt>
                <c:pt idx="5">
                  <c:v>804.66587068900606</c:v>
                </c:pt>
                <c:pt idx="6">
                  <c:v>820.78798075285977</c:v>
                </c:pt>
                <c:pt idx="7">
                  <c:v>834.82951174023594</c:v>
                </c:pt>
                <c:pt idx="8">
                  <c:v>847.55825930305832</c:v>
                </c:pt>
                <c:pt idx="9">
                  <c:v>859.48614667582808</c:v>
                </c:pt>
                <c:pt idx="10">
                  <c:v>870.96512537738261</c:v>
                </c:pt>
                <c:pt idx="11">
                  <c:v>882.24361840705001</c:v>
                </c:pt>
                <c:pt idx="12">
                  <c:v>893.50102522128611</c:v>
                </c:pt>
                <c:pt idx="13">
                  <c:v>904.86951881001301</c:v>
                </c:pt>
                <c:pt idx="14">
                  <c:v>916.44821530362594</c:v>
                </c:pt>
                <c:pt idx="15">
                  <c:v>928.31262072817219</c:v>
                </c:pt>
                <c:pt idx="16">
                  <c:v>940.52107189709329</c:v>
                </c:pt>
                <c:pt idx="17">
                  <c:v>953.11921682088803</c:v>
                </c:pt>
                <c:pt idx="18">
                  <c:v>966.14318810275154</c:v>
                </c:pt>
                <c:pt idx="19">
                  <c:v>979.62188757958893</c:v>
                </c:pt>
                <c:pt idx="20">
                  <c:v>993.57865569833712</c:v>
                </c:pt>
                <c:pt idx="21">
                  <c:v>1008.0325079558434</c:v>
                </c:pt>
                <c:pt idx="22">
                  <c:v>1022.9990621226483</c:v>
                </c:pt>
                <c:pt idx="23">
                  <c:v>1038.4912415715489</c:v>
                </c:pt>
                <c:pt idx="24">
                  <c:v>1054.5198144321482</c:v>
                </c:pt>
                <c:pt idx="25">
                  <c:v>1071.0938109512108</c:v>
                </c:pt>
                <c:pt idx="26">
                  <c:v>1088.2208495169391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098-40E2-90CE-822DAB964B27}"/>
            </c:ext>
          </c:extLst>
        </c:ser>
        <c:ser>
          <c:idx val="2"/>
          <c:order val="2"/>
          <c:tx>
            <c:strRef>
              <c:f>Cp_Rocks!$G$20</c:f>
              <c:strCache>
                <c:ptCount val="1"/>
                <c:pt idx="0">
                  <c:v>enstatite</c:v>
                </c:pt>
              </c:strCache>
            </c:strRef>
          </c:tx>
          <c:spPr>
            <a:ln w="25400" cap="rnd">
              <a:solidFill>
                <a:schemeClr val="accent6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Cp_Rocks!$C$22:$C$48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Cp_Rocks!$G$22:$G$48</c:f>
              <c:numCache>
                <c:formatCode>0.0</c:formatCode>
                <c:ptCount val="27"/>
                <c:pt idx="0">
                  <c:v>391.56482709663186</c:v>
                </c:pt>
                <c:pt idx="1">
                  <c:v>434.20860977884649</c:v>
                </c:pt>
                <c:pt idx="2">
                  <c:v>469.17048864821413</c:v>
                </c:pt>
                <c:pt idx="3">
                  <c:v>497.49499734260132</c:v>
                </c:pt>
                <c:pt idx="4">
                  <c:v>520.48581817392005</c:v>
                </c:pt>
                <c:pt idx="5">
                  <c:v>539.30788397927029</c:v>
                </c:pt>
                <c:pt idx="6">
                  <c:v>554.92037477219435</c:v>
                </c:pt>
                <c:pt idx="7">
                  <c:v>568.09426461017904</c:v>
                </c:pt>
                <c:pt idx="8">
                  <c:v>579.44661834764133</c:v>
                </c:pt>
                <c:pt idx="9">
                  <c:v>589.47313021937646</c:v>
                </c:pt>
                <c:pt idx="10">
                  <c:v>598.57477662432245</c:v>
                </c:pt>
                <c:pt idx="11">
                  <c:v>607.07859393909985</c:v>
                </c:pt>
                <c:pt idx="12">
                  <c:v>615.25360271797683</c:v>
                </c:pt>
                <c:pt idx="13">
                  <c:v>623.3229700001292</c:v>
                </c:pt>
                <c:pt idx="14">
                  <c:v>631.4733251435938</c:v>
                </c:pt>
                <c:pt idx="15">
                  <c:v>639.8619378473154</c:v>
                </c:pt>
                <c:pt idx="16">
                  <c:v>648.62228994741793</c:v>
                </c:pt>
                <c:pt idx="17">
                  <c:v>657.86843511623579</c:v>
                </c:pt>
                <c:pt idx="18">
                  <c:v>667.69843802865807</c:v>
                </c:pt>
                <c:pt idx="19">
                  <c:v>678.19710925587981</c:v>
                </c:pt>
                <c:pt idx="20">
                  <c:v>689.43819713182791</c:v>
                </c:pt>
                <c:pt idx="21">
                  <c:v>701.48615761317944</c:v>
                </c:pt>
                <c:pt idx="22">
                  <c:v>714.39759362685129</c:v>
                </c:pt>
                <c:pt idx="23">
                  <c:v>728.22243360002892</c:v>
                </c:pt>
                <c:pt idx="24">
                  <c:v>743.00490266697636</c:v>
                </c:pt>
                <c:pt idx="25">
                  <c:v>758.78432792030628</c:v>
                </c:pt>
                <c:pt idx="26">
                  <c:v>775.59580993090424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098-40E2-90CE-822DAB964B27}"/>
            </c:ext>
          </c:extLst>
        </c:ser>
        <c:ser>
          <c:idx val="3"/>
          <c:order val="3"/>
          <c:tx>
            <c:strRef>
              <c:f>Cp_Rocks!$H$20</c:f>
              <c:strCache>
                <c:ptCount val="1"/>
                <c:pt idx="0">
                  <c:v>ferrosillite </c:v>
                </c:pt>
              </c:strCache>
            </c:strRef>
          </c:tx>
          <c:spPr>
            <a:ln w="25400" cap="rnd">
              <a:solidFill>
                <a:schemeClr val="accent4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Cp_Rocks!$C$22:$C$48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Cp_Rocks!$H$22:$H$48</c:f>
              <c:numCache>
                <c:formatCode>0.0</c:formatCode>
                <c:ptCount val="27"/>
                <c:pt idx="0">
                  <c:v>674.88250469765035</c:v>
                </c:pt>
                <c:pt idx="1">
                  <c:v>678.77689612645963</c:v>
                </c:pt>
                <c:pt idx="2">
                  <c:v>682.64582201229473</c:v>
                </c:pt>
                <c:pt idx="3">
                  <c:v>686.50057045623498</c:v>
                </c:pt>
                <c:pt idx="4">
                  <c:v>690.34680337666362</c:v>
                </c:pt>
                <c:pt idx="5">
                  <c:v>694.18761452698948</c:v>
                </c:pt>
                <c:pt idx="6">
                  <c:v>698.02481038671101</c:v>
                </c:pt>
                <c:pt idx="7">
                  <c:v>701.85950324493649</c:v>
                </c:pt>
                <c:pt idx="8">
                  <c:v>705.69240834579887</c:v>
                </c:pt>
                <c:pt idx="9">
                  <c:v>709.52400257411603</c:v>
                </c:pt>
                <c:pt idx="10">
                  <c:v>713.35461379220146</c:v>
                </c:pt>
                <c:pt idx="11">
                  <c:v>717.18447341982505</c:v>
                </c:pt>
                <c:pt idx="12">
                  <c:v>721.01374857750648</c:v>
                </c:pt>
                <c:pt idx="13">
                  <c:v>724.84256239169906</c:v>
                </c:pt>
                <c:pt idx="14">
                  <c:v>728.67100719456278</c:v>
                </c:pt>
                <c:pt idx="15">
                  <c:v>732.49915332413843</c:v>
                </c:pt>
                <c:pt idx="16">
                  <c:v>736.32705512439577</c:v>
                </c:pt>
                <c:pt idx="17">
                  <c:v>740.15475511898205</c:v>
                </c:pt>
                <c:pt idx="18">
                  <c:v>743.98228696741648</c:v>
                </c:pt>
                <c:pt idx="19">
                  <c:v>747.80967759335965</c:v>
                </c:pt>
                <c:pt idx="20">
                  <c:v>751.63694873972895</c:v>
                </c:pt>
                <c:pt idx="21">
                  <c:v>755.46411812051201</c:v>
                </c:pt>
                <c:pt idx="22">
                  <c:v>759.29120028452633</c:v>
                </c:pt>
                <c:pt idx="23">
                  <c:v>763.11820727060854</c:v>
                </c:pt>
                <c:pt idx="24">
                  <c:v>766.9451491098672</c:v>
                </c:pt>
                <c:pt idx="25">
                  <c:v>770.77203421447666</c:v>
                </c:pt>
                <c:pt idx="26">
                  <c:v>774.59886968138744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098-40E2-90CE-822DAB964B27}"/>
            </c:ext>
          </c:extLst>
        </c:ser>
        <c:ser>
          <c:idx val="4"/>
          <c:order val="4"/>
          <c:tx>
            <c:strRef>
              <c:f>Cp_Rocks!$I$20</c:f>
              <c:strCache>
                <c:ptCount val="1"/>
                <c:pt idx="0">
                  <c:v>diopside </c:v>
                </c:pt>
              </c:strCache>
            </c:strRef>
          </c:tx>
          <c:spPr>
            <a:ln w="25400" cap="rnd">
              <a:solidFill>
                <a:schemeClr val="tx2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Cp_Rocks!$C$22:$C$48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Cp_Rocks!$I$22:$I$48</c:f>
              <c:numCache>
                <c:formatCode>0.0</c:formatCode>
                <c:ptCount val="27"/>
                <c:pt idx="0">
                  <c:v>724.44397893701705</c:v>
                </c:pt>
                <c:pt idx="1">
                  <c:v>809.84085638369413</c:v>
                </c:pt>
                <c:pt idx="2">
                  <c:v>874.86766086047021</c:v>
                </c:pt>
                <c:pt idx="3">
                  <c:v>925.71512977617124</c:v>
                </c:pt>
                <c:pt idx="4">
                  <c:v>966.30008296064295</c:v>
                </c:pt>
                <c:pt idx="5">
                  <c:v>999.23381821375494</c:v>
                </c:pt>
                <c:pt idx="6">
                  <c:v>1026.3314739310749</c:v>
                </c:pt>
                <c:pt idx="7">
                  <c:v>1048.8984337458653</c:v>
                </c:pt>
                <c:pt idx="8">
                  <c:v>1067.9003689098308</c:v>
                </c:pt>
                <c:pt idx="9">
                  <c:v>1084.0688512877744</c:v>
                </c:pt>
                <c:pt idx="10">
                  <c:v>1097.9694863960035</c:v>
                </c:pt>
                <c:pt idx="11">
                  <c:v>1110.0473129911613</c:v>
                </c:pt>
                <c:pt idx="12">
                  <c:v>1120.6579108871661</c:v>
                </c:pt>
                <c:pt idx="13">
                  <c:v>1130.0892408778216</c:v>
                </c:pt>
                <c:pt idx="14">
                  <c:v>1138.577309333728</c:v>
                </c:pt>
                <c:pt idx="15">
                  <c:v>1146.3176184468141</c:v>
                </c:pt>
                <c:pt idx="16">
                  <c:v>1153.4736785882017</c:v>
                </c:pt>
                <c:pt idx="17">
                  <c:v>1160.1834333069755</c:v>
                </c:pt>
                <c:pt idx="18">
                  <c:v>1166.5641756778573</c:v>
                </c:pt>
                <c:pt idx="19">
                  <c:v>1172.716357259412</c:v>
                </c:pt>
                <c:pt idx="20">
                  <c:v>1178.7265726874766</c:v>
                </c:pt>
                <c:pt idx="21">
                  <c:v>1184.6699226648091</c:v>
                </c:pt>
                <c:pt idx="22">
                  <c:v>1190.6119026895885</c:v>
                </c:pt>
                <c:pt idx="23">
                  <c:v>1196.6099260025267</c:v>
                </c:pt>
                <c:pt idx="24">
                  <c:v>1202.7145615871677</c:v>
                </c:pt>
                <c:pt idx="25">
                  <c:v>1208.9705481318799</c:v>
                </c:pt>
                <c:pt idx="26">
                  <c:v>1215.4176303235417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098-40E2-90CE-822DAB964B27}"/>
            </c:ext>
          </c:extLst>
        </c:ser>
        <c:ser>
          <c:idx val="5"/>
          <c:order val="5"/>
          <c:tx>
            <c:strRef>
              <c:f>Cp_Rocks!$J$20</c:f>
              <c:strCache>
                <c:ptCount val="1"/>
                <c:pt idx="0">
                  <c:v>spinel</c:v>
                </c:pt>
              </c:strCache>
            </c:strRef>
          </c:tx>
          <c:spPr>
            <a:ln w="25400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Cp_Rocks!$C$22:$C$48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Cp_Rocks!$J$22:$J$48</c:f>
              <c:numCache>
                <c:formatCode>0.0</c:formatCode>
                <c:ptCount val="27"/>
                <c:pt idx="0">
                  <c:v>760.09131210641988</c:v>
                </c:pt>
                <c:pt idx="1">
                  <c:v>860.77425898508409</c:v>
                </c:pt>
                <c:pt idx="2">
                  <c:v>933.39838551035166</c:v>
                </c:pt>
                <c:pt idx="3">
                  <c:v>988.87083713800064</c:v>
                </c:pt>
                <c:pt idx="4">
                  <c:v>1033.0597551329886</c:v>
                </c:pt>
                <c:pt idx="5">
                  <c:v>1069.4021752904653</c:v>
                </c:pt>
                <c:pt idx="6">
                  <c:v>1100.0471601793595</c:v>
                </c:pt>
                <c:pt idx="7">
                  <c:v>1126.4098448714435</c:v>
                </c:pt>
                <c:pt idx="8">
                  <c:v>1149.4620192459151</c:v>
                </c:pt>
                <c:pt idx="9">
                  <c:v>1169.8945555999401</c:v>
                </c:pt>
                <c:pt idx="10">
                  <c:v>1188.2130985452079</c:v>
                </c:pt>
                <c:pt idx="11">
                  <c:v>1204.7969781378554</c:v>
                </c:pt>
                <c:pt idx="12">
                  <c:v>1219.9368665845068</c:v>
                </c:pt>
                <c:pt idx="13">
                  <c:v>1233.8596377391218</c:v>
                </c:pt>
                <c:pt idx="14">
                  <c:v>1246.7452456588303</c:v>
                </c:pt>
                <c:pt idx="15">
                  <c:v>1258.7384702170555</c:v>
                </c:pt>
                <c:pt idx="16">
                  <c:v>1269.9572707057539</c:v>
                </c:pt>
                <c:pt idx="17">
                  <c:v>1280.4988432940988</c:v>
                </c:pt>
                <c:pt idx="18">
                  <c:v>1290.4440903980233</c:v>
                </c:pt>
                <c:pt idx="19">
                  <c:v>1299.8609702612937</c:v>
                </c:pt>
                <c:pt idx="20">
                  <c:v>1308.8070430666298</c:v>
                </c:pt>
                <c:pt idx="21">
                  <c:v>1317.3314313480575</c:v>
                </c:pt>
                <c:pt idx="22">
                  <c:v>1325.4763472512354</c:v>
                </c:pt>
                <c:pt idx="23">
                  <c:v>1333.2782952041173</c:v>
                </c:pt>
                <c:pt idx="24">
                  <c:v>1340.7690283873369</c:v>
                </c:pt>
                <c:pt idx="25">
                  <c:v>1347.9763163673827</c:v>
                </c:pt>
                <c:pt idx="26">
                  <c:v>1354.9245663895065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098-40E2-90CE-822DAB964B27}"/>
            </c:ext>
          </c:extLst>
        </c:ser>
        <c:ser>
          <c:idx val="6"/>
          <c:order val="6"/>
          <c:tx>
            <c:strRef>
              <c:f>Cp_Rocks!$L$20</c:f>
              <c:strCache>
                <c:ptCount val="1"/>
                <c:pt idx="0">
                  <c:v>Peridotite</c:v>
                </c:pt>
              </c:strCache>
            </c:strRef>
          </c:tx>
          <c:spPr>
            <a:ln w="7620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Cp_Rocks!$C$22:$C$48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Cp_Rocks!$L$22:$L$48</c:f>
              <c:numCache>
                <c:formatCode>General</c:formatCode>
                <c:ptCount val="27"/>
                <c:pt idx="0">
                  <c:v>679.97828631993207</c:v>
                </c:pt>
                <c:pt idx="1">
                  <c:v>759.01499090676987</c:v>
                </c:pt>
                <c:pt idx="2">
                  <c:v>813.74243632974185</c:v>
                </c:pt>
                <c:pt idx="3">
                  <c:v>854.50832624667339</c:v>
                </c:pt>
                <c:pt idx="4">
                  <c:v>886.60941177766699</c:v>
                </c:pt>
                <c:pt idx="5">
                  <c:v>913.00173902604604</c:v>
                </c:pt>
                <c:pt idx="6">
                  <c:v>935.44948634699131</c:v>
                </c:pt>
                <c:pt idx="7">
                  <c:v>955.06353885223359</c:v>
                </c:pt>
                <c:pt idx="8">
                  <c:v>972.57480802877251</c:v>
                </c:pt>
                <c:pt idx="9">
                  <c:v>988.48213656105179</c:v>
                </c:pt>
                <c:pt idx="10">
                  <c:v>1003.1367042497407</c:v>
                </c:pt>
                <c:pt idx="11">
                  <c:v>1016.7924013243995</c:v>
                </c:pt>
                <c:pt idx="12">
                  <c:v>1029.6370629453825</c:v>
                </c:pt>
                <c:pt idx="13">
                  <c:v>1041.8124875572539</c:v>
                </c:pt>
                <c:pt idx="14">
                  <c:v>1053.4276427477635</c:v>
                </c:pt>
                <c:pt idx="15">
                  <c:v>1064.5676016104612</c:v>
                </c:pt>
                <c:pt idx="16">
                  <c:v>1075.2997282301676</c:v>
                </c:pt>
                <c:pt idx="17">
                  <c:v>1085.6780465236407</c:v>
                </c:pt>
                <c:pt idx="18">
                  <c:v>1095.7463825980697</c:v>
                </c:pt>
                <c:pt idx="19">
                  <c:v>1105.5406624166071</c:v>
                </c:pt>
                <c:pt idx="20">
                  <c:v>1115.0906171238421</c:v>
                </c:pt>
                <c:pt idx="21">
                  <c:v>1124.4210661153224</c:v>
                </c:pt>
                <c:pt idx="22">
                  <c:v>1133.5528945436781</c:v>
                </c:pt>
                <c:pt idx="23">
                  <c:v>1142.5038066370323</c:v>
                </c:pt>
                <c:pt idx="24">
                  <c:v>1151.2889124329231</c:v>
                </c:pt>
                <c:pt idx="25">
                  <c:v>1159.9211892699475</c:v>
                </c:pt>
                <c:pt idx="26">
                  <c:v>1168.4118480901373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098-40E2-90CE-822DAB964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0221951"/>
        <c:axId val="809840991"/>
      </c:scatterChart>
      <c:valAx>
        <c:axId val="10502219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T°C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9840991"/>
        <c:crosses val="autoZero"/>
        <c:crossBetween val="midCat"/>
      </c:valAx>
      <c:valAx>
        <c:axId val="80984099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cp (J/(kg*K))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2219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Cp_Rocks!$Y$20</c:f>
              <c:strCache>
                <c:ptCount val="1"/>
                <c:pt idx="0">
                  <c:v>forsterite   </c:v>
                </c:pt>
              </c:strCache>
            </c:strRef>
          </c:tx>
          <c:spPr>
            <a:ln w="2540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Cp_Rocks!$W$22:$W$48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Cp_Rocks!$Y$22:$Y$48</c:f>
              <c:numCache>
                <c:formatCode>0.0</c:formatCode>
                <c:ptCount val="27"/>
                <c:pt idx="0">
                  <c:v>788.74688213245622</c:v>
                </c:pt>
                <c:pt idx="1">
                  <c:v>886.3513781961932</c:v>
                </c:pt>
                <c:pt idx="2">
                  <c:v>951.59766361346226</c:v>
                </c:pt>
                <c:pt idx="3">
                  <c:v>999.31848509537349</c:v>
                </c:pt>
                <c:pt idx="4">
                  <c:v>1036.7351821809104</c:v>
                </c:pt>
                <c:pt idx="5">
                  <c:v>1067.6667714399878</c:v>
                </c:pt>
                <c:pt idx="6">
                  <c:v>1094.2650488020338</c:v>
                </c:pt>
                <c:pt idx="7">
                  <c:v>1117.8043728251912</c:v>
                </c:pt>
                <c:pt idx="8">
                  <c:v>1139.0702128051162</c:v>
                </c:pt>
                <c:pt idx="9">
                  <c:v>1158.5626608585637</c:v>
                </c:pt>
                <c:pt idx="10">
                  <c:v>1176.6086696046432</c:v>
                </c:pt>
                <c:pt idx="11">
                  <c:v>1193.4266839602235</c:v>
                </c:pt>
                <c:pt idx="12">
                  <c:v>1209.1652490154218</c:v>
                </c:pt>
                <c:pt idx="13">
                  <c:v>1223.9268096611409</c:v>
                </c:pt>
                <c:pt idx="14">
                  <c:v>1237.7827870110905</c:v>
                </c:pt>
                <c:pt idx="15">
                  <c:v>1250.7833586746526</c:v>
                </c:pt>
                <c:pt idx="16">
                  <c:v>1262.963937118843</c:v>
                </c:pt>
                <c:pt idx="17">
                  <c:v>1274.3495405541332</c:v>
                </c:pt>
                <c:pt idx="18">
                  <c:v>1284.9577903205916</c:v>
                </c:pt>
                <c:pt idx="19">
                  <c:v>1294.8009962577316</c:v>
                </c:pt>
                <c:pt idx="20">
                  <c:v>1303.887626251993</c:v>
                </c:pt>
                <c:pt idx="21">
                  <c:v>1312.2233536366396</c:v>
                </c:pt>
                <c:pt idx="22">
                  <c:v>1319.811811236814</c:v>
                </c:pt>
                <c:pt idx="23">
                  <c:v>1326.6551390295995</c:v>
                </c:pt>
                <c:pt idx="24">
                  <c:v>1332.7543849744868</c:v>
                </c:pt>
                <c:pt idx="25">
                  <c:v>1338.1098003217767</c:v>
                </c:pt>
                <c:pt idx="26">
                  <c:v>1342.7210583876024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91-4052-BDC4-5DB15EE050BA}"/>
            </c:ext>
          </c:extLst>
        </c:ser>
        <c:ser>
          <c:idx val="1"/>
          <c:order val="1"/>
          <c:tx>
            <c:strRef>
              <c:f>Cp_Rocks!$Z$20</c:f>
              <c:strCache>
                <c:ptCount val="1"/>
                <c:pt idx="0">
                  <c:v>fayalite </c:v>
                </c:pt>
              </c:strCache>
            </c:strRef>
          </c:tx>
          <c:spPr>
            <a:ln w="25400" cap="rnd">
              <a:solidFill>
                <a:schemeClr val="accent2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Cp_Rocks!$W$22:$W$48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Cp_Rocks!$Z$22:$Z$48</c:f>
              <c:numCache>
                <c:formatCode>0.0</c:formatCode>
                <c:ptCount val="27"/>
                <c:pt idx="0">
                  <c:v>605.26674972654757</c:v>
                </c:pt>
                <c:pt idx="1">
                  <c:v>679.75515586457323</c:v>
                </c:pt>
                <c:pt idx="2">
                  <c:v>727.51330221068895</c:v>
                </c:pt>
                <c:pt idx="3">
                  <c:v>760.6586666036925</c:v>
                </c:pt>
                <c:pt idx="4">
                  <c:v>785.26916862070277</c:v>
                </c:pt>
                <c:pt idx="5">
                  <c:v>804.66587068900606</c:v>
                </c:pt>
                <c:pt idx="6">
                  <c:v>820.78798075285977</c:v>
                </c:pt>
                <c:pt idx="7">
                  <c:v>834.82951174023594</c:v>
                </c:pt>
                <c:pt idx="8">
                  <c:v>847.55825930305832</c:v>
                </c:pt>
                <c:pt idx="9">
                  <c:v>859.48614667582808</c:v>
                </c:pt>
                <c:pt idx="10">
                  <c:v>870.96512537738261</c:v>
                </c:pt>
                <c:pt idx="11">
                  <c:v>882.24361840705001</c:v>
                </c:pt>
                <c:pt idx="12">
                  <c:v>893.50102522128611</c:v>
                </c:pt>
                <c:pt idx="13">
                  <c:v>904.86951881001301</c:v>
                </c:pt>
                <c:pt idx="14">
                  <c:v>916.44821530362594</c:v>
                </c:pt>
                <c:pt idx="15">
                  <c:v>928.31262072817219</c:v>
                </c:pt>
                <c:pt idx="16">
                  <c:v>940.52107189709329</c:v>
                </c:pt>
                <c:pt idx="17">
                  <c:v>953.11921682088803</c:v>
                </c:pt>
                <c:pt idx="18">
                  <c:v>966.14318810275154</c:v>
                </c:pt>
                <c:pt idx="19">
                  <c:v>979.62188757958893</c:v>
                </c:pt>
                <c:pt idx="20">
                  <c:v>993.57865569833712</c:v>
                </c:pt>
                <c:pt idx="21">
                  <c:v>1008.0325079558434</c:v>
                </c:pt>
                <c:pt idx="22">
                  <c:v>1022.9990621226483</c:v>
                </c:pt>
                <c:pt idx="23">
                  <c:v>1038.4912415715489</c:v>
                </c:pt>
                <c:pt idx="24">
                  <c:v>1054.5198144321482</c:v>
                </c:pt>
                <c:pt idx="25">
                  <c:v>1071.0938109512108</c:v>
                </c:pt>
                <c:pt idx="26">
                  <c:v>1088.2208495169391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A91-4052-BDC4-5DB15EE050BA}"/>
            </c:ext>
          </c:extLst>
        </c:ser>
        <c:ser>
          <c:idx val="2"/>
          <c:order val="2"/>
          <c:tx>
            <c:strRef>
              <c:f>Cp_Rocks!$AA$20</c:f>
              <c:strCache>
                <c:ptCount val="1"/>
                <c:pt idx="0">
                  <c:v>albite</c:v>
                </c:pt>
              </c:strCache>
            </c:strRef>
          </c:tx>
          <c:spPr>
            <a:ln w="25400" cap="rnd">
              <a:solidFill>
                <a:schemeClr val="accent6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Cp_Rocks!$W$22:$W$48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Cp_Rocks!$AA$22:$AA$48</c:f>
              <c:numCache>
                <c:formatCode>0.0</c:formatCode>
                <c:ptCount val="27"/>
                <c:pt idx="0">
                  <c:v>739.97494066222146</c:v>
                </c:pt>
                <c:pt idx="1">
                  <c:v>819.86062225629814</c:v>
                </c:pt>
                <c:pt idx="2">
                  <c:v>884.43935274314208</c:v>
                </c:pt>
                <c:pt idx="3">
                  <c:v>937.24913315373465</c:v>
                </c:pt>
                <c:pt idx="4">
                  <c:v>980.95734813751471</c:v>
                </c:pt>
                <c:pt idx="5">
                  <c:v>1017.5396760598167</c:v>
                </c:pt>
                <c:pt idx="6">
                  <c:v>1048.4691347275329</c:v>
                </c:pt>
                <c:pt idx="7">
                  <c:v>1074.8592252414262</c:v>
                </c:pt>
                <c:pt idx="8">
                  <c:v>1097.5648519375379</c:v>
                </c:pt>
                <c:pt idx="9">
                  <c:v>1117.2525015289796</c:v>
                </c:pt>
                <c:pt idx="10">
                  <c:v>1134.449294755301</c:v>
                </c:pt>
                <c:pt idx="11">
                  <c:v>1149.5776851657452</c:v>
                </c:pt>
                <c:pt idx="12">
                  <c:v>1162.9803605636969</c:v>
                </c:pt>
                <c:pt idx="13">
                  <c:v>1174.9383811094724</c:v>
                </c:pt>
                <c:pt idx="14">
                  <c:v>1185.6845841320383</c:v>
                </c:pt>
                <c:pt idx="15">
                  <c:v>1195.4136284322799</c:v>
                </c:pt>
                <c:pt idx="16">
                  <c:v>1204.2896185739742</c:v>
                </c:pt>
                <c:pt idx="17">
                  <c:v>1212.4519624690583</c:v>
                </c:pt>
                <c:pt idx="18">
                  <c:v>1220.019922384676</c:v>
                </c:pt>
                <c:pt idx="19">
                  <c:v>1227.096187818956</c:v>
                </c:pt>
                <c:pt idx="20">
                  <c:v>1233.7697077224755</c:v>
                </c:pt>
                <c:pt idx="21">
                  <c:v>1240.1179558680287</c:v>
                </c:pt>
                <c:pt idx="22">
                  <c:v>1246.2087580367408</c:v>
                </c:pt>
                <c:pt idx="23">
                  <c:v>1252.1017773083131</c:v>
                </c:pt>
                <c:pt idx="24">
                  <c:v>1257.849730246224</c:v>
                </c:pt>
                <c:pt idx="25">
                  <c:v>1263.4993895327477</c:v>
                </c:pt>
                <c:pt idx="26">
                  <c:v>1269.0924158356252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A91-4052-BDC4-5DB15EE050BA}"/>
            </c:ext>
          </c:extLst>
        </c:ser>
        <c:ser>
          <c:idx val="3"/>
          <c:order val="3"/>
          <c:tx>
            <c:strRef>
              <c:f>Cp_Rocks!$AB$20</c:f>
              <c:strCache>
                <c:ptCount val="1"/>
                <c:pt idx="0">
                  <c:v>anorthite</c:v>
                </c:pt>
              </c:strCache>
            </c:strRef>
          </c:tx>
          <c:spPr>
            <a:ln w="25400" cap="rnd">
              <a:solidFill>
                <a:schemeClr val="accent4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Cp_Rocks!$W$22:$W$48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Cp_Rocks!$AB$22:$AB$48</c:f>
              <c:numCache>
                <c:formatCode>0.0</c:formatCode>
                <c:ptCount val="27"/>
                <c:pt idx="0">
                  <c:v>521.1733763032114</c:v>
                </c:pt>
                <c:pt idx="1">
                  <c:v>585.3450957793408</c:v>
                </c:pt>
                <c:pt idx="2">
                  <c:v>632.49072917041087</c:v>
                </c:pt>
                <c:pt idx="3">
                  <c:v>668.70702740859417</c:v>
                </c:pt>
                <c:pt idx="4">
                  <c:v>697.49191536423791</c:v>
                </c:pt>
                <c:pt idx="5">
                  <c:v>721.01203130335762</c:v>
                </c:pt>
                <c:pt idx="6">
                  <c:v>740.68987607204269</c:v>
                </c:pt>
                <c:pt idx="7">
                  <c:v>757.50307846804662</c:v>
                </c:pt>
                <c:pt idx="8">
                  <c:v>772.14872130375375</c:v>
                </c:pt>
                <c:pt idx="9">
                  <c:v>785.13912087253254</c:v>
                </c:pt>
                <c:pt idx="10">
                  <c:v>796.86045055563795</c:v>
                </c:pt>
                <c:pt idx="11">
                  <c:v>807.61011636846354</c:v>
                </c:pt>
                <c:pt idx="12">
                  <c:v>817.62142328333653</c:v>
                </c:pt>
                <c:pt idx="13">
                  <c:v>827.08034346547208</c:v>
                </c:pt>
                <c:pt idx="14">
                  <c:v>836.13721194449386</c:v>
                </c:pt>
                <c:pt idx="15">
                  <c:v>844.9150696792484</c:v>
                </c:pt>
                <c:pt idx="16">
                  <c:v>853.51573429139808</c:v>
                </c:pt>
                <c:pt idx="17">
                  <c:v>862.02429594692592</c:v>
                </c:pt>
                <c:pt idx="18">
                  <c:v>870.51249987625602</c:v>
                </c:pt>
                <c:pt idx="19">
                  <c:v>879.04132763701762</c:v>
                </c:pt>
                <c:pt idx="20">
                  <c:v>887.6629923883321</c:v>
                </c:pt>
                <c:pt idx="21">
                  <c:v>896.42249931950846</c:v>
                </c:pt>
                <c:pt idx="22">
                  <c:v>905.35887908075642</c:v>
                </c:pt>
                <c:pt idx="23">
                  <c:v>914.5061723130168</c:v>
                </c:pt>
                <c:pt idx="24">
                  <c:v>923.89422259913226</c:v>
                </c:pt>
                <c:pt idx="25">
                  <c:v>933.54932043567942</c:v>
                </c:pt>
                <c:pt idx="26">
                  <c:v>943.49473024800989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A91-4052-BDC4-5DB15EE050BA}"/>
            </c:ext>
          </c:extLst>
        </c:ser>
        <c:ser>
          <c:idx val="4"/>
          <c:order val="4"/>
          <c:tx>
            <c:strRef>
              <c:f>Cp_Rocks!$AC$20</c:f>
              <c:strCache>
                <c:ptCount val="1"/>
                <c:pt idx="0">
                  <c:v>diopside </c:v>
                </c:pt>
              </c:strCache>
            </c:strRef>
          </c:tx>
          <c:spPr>
            <a:ln w="25400" cap="rnd">
              <a:solidFill>
                <a:schemeClr val="tx2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Cp_Rocks!$W$22:$W$48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Cp_Rocks!$AC$22:$AC$48</c:f>
              <c:numCache>
                <c:formatCode>0.0</c:formatCode>
                <c:ptCount val="27"/>
                <c:pt idx="0">
                  <c:v>724.44397893701705</c:v>
                </c:pt>
                <c:pt idx="1">
                  <c:v>809.84085638369413</c:v>
                </c:pt>
                <c:pt idx="2">
                  <c:v>874.86766086047021</c:v>
                </c:pt>
                <c:pt idx="3">
                  <c:v>925.71512977617124</c:v>
                </c:pt>
                <c:pt idx="4">
                  <c:v>966.30008296064295</c:v>
                </c:pt>
                <c:pt idx="5">
                  <c:v>999.23381821375494</c:v>
                </c:pt>
                <c:pt idx="6">
                  <c:v>1026.3314739310749</c:v>
                </c:pt>
                <c:pt idx="7">
                  <c:v>1048.8984337458653</c:v>
                </c:pt>
                <c:pt idx="8">
                  <c:v>1067.9003689098308</c:v>
                </c:pt>
                <c:pt idx="9">
                  <c:v>1084.0688512877744</c:v>
                </c:pt>
                <c:pt idx="10">
                  <c:v>1097.9694863960035</c:v>
                </c:pt>
                <c:pt idx="11">
                  <c:v>1110.0473129911613</c:v>
                </c:pt>
                <c:pt idx="12">
                  <c:v>1120.6579108871661</c:v>
                </c:pt>
                <c:pt idx="13">
                  <c:v>1130.0892408778216</c:v>
                </c:pt>
                <c:pt idx="14">
                  <c:v>1138.577309333728</c:v>
                </c:pt>
                <c:pt idx="15">
                  <c:v>1146.3176184468141</c:v>
                </c:pt>
                <c:pt idx="16">
                  <c:v>1153.4736785882017</c:v>
                </c:pt>
                <c:pt idx="17">
                  <c:v>1160.1834333069755</c:v>
                </c:pt>
                <c:pt idx="18">
                  <c:v>1166.5641756778573</c:v>
                </c:pt>
                <c:pt idx="19">
                  <c:v>1172.716357259412</c:v>
                </c:pt>
                <c:pt idx="20">
                  <c:v>1178.7265726874766</c:v>
                </c:pt>
                <c:pt idx="21">
                  <c:v>1184.6699226648091</c:v>
                </c:pt>
                <c:pt idx="22">
                  <c:v>1190.6119026895885</c:v>
                </c:pt>
                <c:pt idx="23">
                  <c:v>1196.6099260025267</c:v>
                </c:pt>
                <c:pt idx="24">
                  <c:v>1202.7145615871677</c:v>
                </c:pt>
                <c:pt idx="25">
                  <c:v>1208.9705481318799</c:v>
                </c:pt>
                <c:pt idx="26">
                  <c:v>1215.4176303235417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A91-4052-BDC4-5DB15EE050BA}"/>
            </c:ext>
          </c:extLst>
        </c:ser>
        <c:ser>
          <c:idx val="6"/>
          <c:order val="5"/>
          <c:tx>
            <c:strRef>
              <c:f>Cp_Rocks!$AF$20</c:f>
              <c:strCache>
                <c:ptCount val="1"/>
                <c:pt idx="0">
                  <c:v>Gabbro</c:v>
                </c:pt>
              </c:strCache>
            </c:strRef>
          </c:tx>
          <c:spPr>
            <a:ln w="7620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Cp_Rocks!$W$22:$W$48</c:f>
              <c:numCache>
                <c:formatCode>General</c:formatCode>
                <c:ptCount val="27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800.00000000000011</c:v>
                </c:pt>
                <c:pt idx="17">
                  <c:v>850.00000000000011</c:v>
                </c:pt>
                <c:pt idx="18">
                  <c:v>900.00000000000011</c:v>
                </c:pt>
                <c:pt idx="19">
                  <c:v>950.00000000000011</c:v>
                </c:pt>
                <c:pt idx="20">
                  <c:v>1000.0000000000001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</c:numCache>
            </c:numRef>
          </c:xVal>
          <c:yVal>
            <c:numRef>
              <c:f>Cp_Rocks!$AF$22:$AF$48</c:f>
              <c:numCache>
                <c:formatCode>General</c:formatCode>
                <c:ptCount val="27"/>
                <c:pt idx="0">
                  <c:v>669.90733550645768</c:v>
                </c:pt>
                <c:pt idx="1">
                  <c:v>747.68737057998896</c:v>
                </c:pt>
                <c:pt idx="2">
                  <c:v>806.87423574809134</c:v>
                </c:pt>
                <c:pt idx="3">
                  <c:v>853.41865220242096</c:v>
                </c:pt>
                <c:pt idx="4">
                  <c:v>890.9534452047377</c:v>
                </c:pt>
                <c:pt idx="5">
                  <c:v>921.83977489445442</c:v>
                </c:pt>
                <c:pt idx="6">
                  <c:v>947.68819065692503</c:v>
                </c:pt>
                <c:pt idx="7">
                  <c:v>969.64025834574613</c:v>
                </c:pt>
                <c:pt idx="8">
                  <c:v>988.5308576384557</c:v>
                </c:pt>
                <c:pt idx="9">
                  <c:v>1004.9866747223959</c:v>
                </c:pt>
                <c:pt idx="10">
                  <c:v>1019.4885780910149</c:v>
                </c:pt>
                <c:pt idx="11">
                  <c:v>1032.4125614666802</c:v>
                </c:pt>
                <c:pt idx="12">
                  <c:v>1044.0574510768847</c:v>
                </c:pt>
                <c:pt idx="13">
                  <c:v>1054.664156213888</c:v>
                </c:pt>
                <c:pt idx="14">
                  <c:v>1064.4293548324567</c:v>
                </c:pt>
                <c:pt idx="15">
                  <c:v>1073.5154214711911</c:v>
                </c:pt>
                <c:pt idx="16">
                  <c:v>1082.0577594726242</c:v>
                </c:pt>
                <c:pt idx="17">
                  <c:v>1090.1703035359349</c:v>
                </c:pt>
                <c:pt idx="18">
                  <c:v>1097.9497090106208</c:v>
                </c:pt>
                <c:pt idx="19">
                  <c:v>1105.4785830980504</c:v>
                </c:pt>
                <c:pt idx="20">
                  <c:v>1112.8280066830212</c:v>
                </c:pt>
                <c:pt idx="21">
                  <c:v>1120.0595238503797</c:v>
                </c:pt>
                <c:pt idx="22">
                  <c:v>1127.2267270195225</c:v>
                </c:pt>
                <c:pt idx="23">
                  <c:v>1134.3765314065301</c:v>
                </c:pt>
                <c:pt idx="24">
                  <c:v>1141.5502083217939</c:v>
                </c:pt>
                <c:pt idx="25">
                  <c:v>1148.7842294590778</c:v>
                </c:pt>
                <c:pt idx="26">
                  <c:v>1156.1109617324605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A91-4052-BDC4-5DB15EE05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0221951"/>
        <c:axId val="809840991"/>
      </c:scatterChart>
      <c:valAx>
        <c:axId val="10502219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T°C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9840991"/>
        <c:crosses val="autoZero"/>
        <c:crossBetween val="midCat"/>
      </c:valAx>
      <c:valAx>
        <c:axId val="80984099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cp (J/(kg*K))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2219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Oceanic heat flow measurementsl</a:t>
            </a:r>
          </a:p>
        </c:rich>
      </c:tx>
      <c:layout>
        <c:manualLayout>
          <c:xMode val="edge"/>
          <c:yMode val="edge"/>
          <c:x val="0.28436016601874381"/>
          <c:y val="1.49882808166528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PowerConductive!$F$10:$F$202</c:f>
              <c:numCache>
                <c:formatCode>General</c:formatCode>
                <c:ptCount val="193"/>
                <c:pt idx="0">
                  <c:v>0.05</c:v>
                </c:pt>
                <c:pt idx="1">
                  <c:v>0.15</c:v>
                </c:pt>
                <c:pt idx="2">
                  <c:v>0.25</c:v>
                </c:pt>
                <c:pt idx="3">
                  <c:v>0.35</c:v>
                </c:pt>
                <c:pt idx="4">
                  <c:v>0.45</c:v>
                </c:pt>
                <c:pt idx="5">
                  <c:v>0.55000000000000004</c:v>
                </c:pt>
                <c:pt idx="6">
                  <c:v>0.65</c:v>
                </c:pt>
                <c:pt idx="7">
                  <c:v>0.75</c:v>
                </c:pt>
                <c:pt idx="8">
                  <c:v>0.85</c:v>
                </c:pt>
                <c:pt idx="9">
                  <c:v>0.95</c:v>
                </c:pt>
                <c:pt idx="10">
                  <c:v>1.05</c:v>
                </c:pt>
                <c:pt idx="11">
                  <c:v>1.1499999999999999</c:v>
                </c:pt>
                <c:pt idx="12">
                  <c:v>1.25</c:v>
                </c:pt>
                <c:pt idx="13">
                  <c:v>1.35</c:v>
                </c:pt>
                <c:pt idx="14">
                  <c:v>1.45</c:v>
                </c:pt>
                <c:pt idx="15">
                  <c:v>1.55</c:v>
                </c:pt>
                <c:pt idx="16">
                  <c:v>1.65</c:v>
                </c:pt>
                <c:pt idx="17">
                  <c:v>1.75</c:v>
                </c:pt>
                <c:pt idx="18">
                  <c:v>1.85</c:v>
                </c:pt>
                <c:pt idx="19">
                  <c:v>1.95</c:v>
                </c:pt>
                <c:pt idx="20">
                  <c:v>2.0499999999999998</c:v>
                </c:pt>
                <c:pt idx="21">
                  <c:v>2.15</c:v>
                </c:pt>
                <c:pt idx="22">
                  <c:v>2.25</c:v>
                </c:pt>
                <c:pt idx="23">
                  <c:v>2.35</c:v>
                </c:pt>
                <c:pt idx="24">
                  <c:v>2.4500000000000002</c:v>
                </c:pt>
                <c:pt idx="25">
                  <c:v>2.5499999999999998</c:v>
                </c:pt>
                <c:pt idx="26">
                  <c:v>2.65</c:v>
                </c:pt>
                <c:pt idx="27">
                  <c:v>2.75</c:v>
                </c:pt>
                <c:pt idx="28">
                  <c:v>2.85</c:v>
                </c:pt>
                <c:pt idx="29">
                  <c:v>2.95</c:v>
                </c:pt>
                <c:pt idx="30">
                  <c:v>3.05</c:v>
                </c:pt>
                <c:pt idx="31">
                  <c:v>3.15</c:v>
                </c:pt>
                <c:pt idx="32">
                  <c:v>3.25</c:v>
                </c:pt>
                <c:pt idx="33">
                  <c:v>3.35</c:v>
                </c:pt>
                <c:pt idx="34">
                  <c:v>3.45</c:v>
                </c:pt>
                <c:pt idx="35">
                  <c:v>3.55</c:v>
                </c:pt>
                <c:pt idx="36">
                  <c:v>3.65</c:v>
                </c:pt>
                <c:pt idx="37">
                  <c:v>3.75</c:v>
                </c:pt>
                <c:pt idx="38">
                  <c:v>3.85</c:v>
                </c:pt>
                <c:pt idx="39">
                  <c:v>3.95</c:v>
                </c:pt>
                <c:pt idx="40">
                  <c:v>4.05</c:v>
                </c:pt>
                <c:pt idx="41">
                  <c:v>4.1500000000000004</c:v>
                </c:pt>
                <c:pt idx="42">
                  <c:v>4.25</c:v>
                </c:pt>
                <c:pt idx="43">
                  <c:v>4.3499999999999996</c:v>
                </c:pt>
                <c:pt idx="44">
                  <c:v>4.45</c:v>
                </c:pt>
                <c:pt idx="45">
                  <c:v>4.55</c:v>
                </c:pt>
                <c:pt idx="46">
                  <c:v>4.6500000000000004</c:v>
                </c:pt>
                <c:pt idx="47">
                  <c:v>4.75</c:v>
                </c:pt>
                <c:pt idx="48">
                  <c:v>4.8499999999999996</c:v>
                </c:pt>
                <c:pt idx="49">
                  <c:v>4.95</c:v>
                </c:pt>
                <c:pt idx="50">
                  <c:v>5.05</c:v>
                </c:pt>
                <c:pt idx="51">
                  <c:v>5.15</c:v>
                </c:pt>
                <c:pt idx="52">
                  <c:v>5.25</c:v>
                </c:pt>
                <c:pt idx="53">
                  <c:v>5.35</c:v>
                </c:pt>
                <c:pt idx="54">
                  <c:v>5.45</c:v>
                </c:pt>
                <c:pt idx="55">
                  <c:v>5.55</c:v>
                </c:pt>
                <c:pt idx="56">
                  <c:v>5.65</c:v>
                </c:pt>
                <c:pt idx="57">
                  <c:v>5.75</c:v>
                </c:pt>
                <c:pt idx="58">
                  <c:v>5.85</c:v>
                </c:pt>
                <c:pt idx="59">
                  <c:v>5.95</c:v>
                </c:pt>
                <c:pt idx="60">
                  <c:v>6.05</c:v>
                </c:pt>
                <c:pt idx="61">
                  <c:v>6.15</c:v>
                </c:pt>
                <c:pt idx="62">
                  <c:v>6.25</c:v>
                </c:pt>
                <c:pt idx="63">
                  <c:v>6.35</c:v>
                </c:pt>
                <c:pt idx="64">
                  <c:v>6.45</c:v>
                </c:pt>
                <c:pt idx="65">
                  <c:v>6.55</c:v>
                </c:pt>
                <c:pt idx="66">
                  <c:v>6.65</c:v>
                </c:pt>
                <c:pt idx="67">
                  <c:v>6.75</c:v>
                </c:pt>
                <c:pt idx="68">
                  <c:v>6.85</c:v>
                </c:pt>
                <c:pt idx="69">
                  <c:v>6.95</c:v>
                </c:pt>
                <c:pt idx="70">
                  <c:v>7.05</c:v>
                </c:pt>
                <c:pt idx="71">
                  <c:v>7.15</c:v>
                </c:pt>
                <c:pt idx="72">
                  <c:v>7.25</c:v>
                </c:pt>
                <c:pt idx="73">
                  <c:v>7.35</c:v>
                </c:pt>
                <c:pt idx="74">
                  <c:v>7.45</c:v>
                </c:pt>
                <c:pt idx="75">
                  <c:v>7.55</c:v>
                </c:pt>
                <c:pt idx="76">
                  <c:v>7.65</c:v>
                </c:pt>
                <c:pt idx="77">
                  <c:v>7.75</c:v>
                </c:pt>
                <c:pt idx="78">
                  <c:v>7.85</c:v>
                </c:pt>
                <c:pt idx="79">
                  <c:v>7.95</c:v>
                </c:pt>
                <c:pt idx="80">
                  <c:v>8.0500000000000007</c:v>
                </c:pt>
                <c:pt idx="81">
                  <c:v>8.15</c:v>
                </c:pt>
                <c:pt idx="82">
                  <c:v>8.25</c:v>
                </c:pt>
                <c:pt idx="83">
                  <c:v>8.35</c:v>
                </c:pt>
                <c:pt idx="84">
                  <c:v>8.4499999999999993</c:v>
                </c:pt>
                <c:pt idx="85">
                  <c:v>8.5500000000000007</c:v>
                </c:pt>
                <c:pt idx="86">
                  <c:v>8.65</c:v>
                </c:pt>
                <c:pt idx="87">
                  <c:v>8.75</c:v>
                </c:pt>
                <c:pt idx="88">
                  <c:v>8.85</c:v>
                </c:pt>
                <c:pt idx="89">
                  <c:v>8.9499999999999993</c:v>
                </c:pt>
                <c:pt idx="90">
                  <c:v>9.0500000000000007</c:v>
                </c:pt>
                <c:pt idx="91">
                  <c:v>9.15</c:v>
                </c:pt>
                <c:pt idx="92">
                  <c:v>9.25</c:v>
                </c:pt>
                <c:pt idx="93">
                  <c:v>9.35</c:v>
                </c:pt>
                <c:pt idx="94">
                  <c:v>9.4499999999999993</c:v>
                </c:pt>
                <c:pt idx="95">
                  <c:v>9.5500000000000007</c:v>
                </c:pt>
                <c:pt idx="96">
                  <c:v>9.65</c:v>
                </c:pt>
                <c:pt idx="97">
                  <c:v>9.75</c:v>
                </c:pt>
                <c:pt idx="98">
                  <c:v>9.85</c:v>
                </c:pt>
                <c:pt idx="99">
                  <c:v>9.9499999999999993</c:v>
                </c:pt>
                <c:pt idx="100">
                  <c:v>10</c:v>
                </c:pt>
                <c:pt idx="101">
                  <c:v>15</c:v>
                </c:pt>
                <c:pt idx="102">
                  <c:v>20</c:v>
                </c:pt>
                <c:pt idx="103">
                  <c:v>25</c:v>
                </c:pt>
                <c:pt idx="104">
                  <c:v>30</c:v>
                </c:pt>
                <c:pt idx="105">
                  <c:v>35</c:v>
                </c:pt>
                <c:pt idx="106">
                  <c:v>40</c:v>
                </c:pt>
                <c:pt idx="107">
                  <c:v>45</c:v>
                </c:pt>
                <c:pt idx="108">
                  <c:v>50</c:v>
                </c:pt>
                <c:pt idx="109">
                  <c:v>55</c:v>
                </c:pt>
                <c:pt idx="110">
                  <c:v>60</c:v>
                </c:pt>
                <c:pt idx="111">
                  <c:v>65</c:v>
                </c:pt>
                <c:pt idx="112">
                  <c:v>70</c:v>
                </c:pt>
                <c:pt idx="113">
                  <c:v>75</c:v>
                </c:pt>
                <c:pt idx="114">
                  <c:v>80</c:v>
                </c:pt>
                <c:pt idx="115">
                  <c:v>85</c:v>
                </c:pt>
                <c:pt idx="116">
                  <c:v>90</c:v>
                </c:pt>
                <c:pt idx="117">
                  <c:v>95</c:v>
                </c:pt>
                <c:pt idx="118">
                  <c:v>100</c:v>
                </c:pt>
                <c:pt idx="119">
                  <c:v>105</c:v>
                </c:pt>
                <c:pt idx="120">
                  <c:v>110</c:v>
                </c:pt>
                <c:pt idx="121">
                  <c:v>115</c:v>
                </c:pt>
                <c:pt idx="122">
                  <c:v>120</c:v>
                </c:pt>
                <c:pt idx="123">
                  <c:v>125</c:v>
                </c:pt>
                <c:pt idx="124">
                  <c:v>130</c:v>
                </c:pt>
                <c:pt idx="125">
                  <c:v>135</c:v>
                </c:pt>
                <c:pt idx="126">
                  <c:v>140</c:v>
                </c:pt>
                <c:pt idx="127">
                  <c:v>145</c:v>
                </c:pt>
                <c:pt idx="128">
                  <c:v>150</c:v>
                </c:pt>
                <c:pt idx="129">
                  <c:v>155</c:v>
                </c:pt>
                <c:pt idx="130">
                  <c:v>160</c:v>
                </c:pt>
                <c:pt idx="131">
                  <c:v>165</c:v>
                </c:pt>
              </c:numCache>
            </c:numRef>
          </c:xVal>
          <c:yVal>
            <c:numRef>
              <c:f>PowerConductive!$G$10:$G$202</c:f>
              <c:numCache>
                <c:formatCode>General</c:formatCode>
                <c:ptCount val="193"/>
                <c:pt idx="0">
                  <c:v>2280.7893370497854</c:v>
                </c:pt>
                <c:pt idx="1">
                  <c:v>1316.8143377105216</c:v>
                </c:pt>
                <c:pt idx="2">
                  <c:v>1020</c:v>
                </c:pt>
                <c:pt idx="3">
                  <c:v>862.05733982308698</c:v>
                </c:pt>
                <c:pt idx="4">
                  <c:v>760.26311234992852</c:v>
                </c:pt>
                <c:pt idx="5">
                  <c:v>687.68385971250689</c:v>
                </c:pt>
                <c:pt idx="6">
                  <c:v>632.57714640496306</c:v>
                </c:pt>
                <c:pt idx="7">
                  <c:v>588.89727457341826</c:v>
                </c:pt>
                <c:pt idx="8">
                  <c:v>553.17266743757318</c:v>
                </c:pt>
                <c:pt idx="9">
                  <c:v>523.24895956342857</c:v>
                </c:pt>
                <c:pt idx="10">
                  <c:v>497.7090372037519</c:v>
                </c:pt>
                <c:pt idx="11">
                  <c:v>475.57745220255998</c:v>
                </c:pt>
                <c:pt idx="12">
                  <c:v>456.15786740995708</c:v>
                </c:pt>
                <c:pt idx="13">
                  <c:v>438.93811257017387</c:v>
                </c:pt>
                <c:pt idx="14">
                  <c:v>423.53194725407383</c:v>
                </c:pt>
                <c:pt idx="15">
                  <c:v>409.64185774027442</c:v>
                </c:pt>
                <c:pt idx="16">
                  <c:v>397.03446152237672</c:v>
                </c:pt>
                <c:pt idx="17">
                  <c:v>385.52376246941174</c:v>
                </c:pt>
                <c:pt idx="18">
                  <c:v>374.95945726784197</c:v>
                </c:pt>
                <c:pt idx="19">
                  <c:v>365.21858576011078</c:v>
                </c:pt>
                <c:pt idx="20">
                  <c:v>356.19945084248491</c:v>
                </c:pt>
                <c:pt idx="21">
                  <c:v>347.81711312994145</c:v>
                </c:pt>
                <c:pt idx="22">
                  <c:v>340</c:v>
                </c:pt>
                <c:pt idx="23">
                  <c:v>332.68731725725547</c:v>
                </c:pt>
                <c:pt idx="24">
                  <c:v>325.82704814996936</c:v>
                </c:pt>
                <c:pt idx="25">
                  <c:v>319.37438845342626</c:v>
                </c:pt>
                <c:pt idx="26">
                  <c:v>313.29050958531514</c:v>
                </c:pt>
                <c:pt idx="27">
                  <c:v>307.54157146931891</c:v>
                </c:pt>
                <c:pt idx="28">
                  <c:v>302.09792765713706</c:v>
                </c:pt>
                <c:pt idx="29">
                  <c:v>296.93347996718683</c:v>
                </c:pt>
                <c:pt idx="30">
                  <c:v>292.02515050007281</c:v>
                </c:pt>
                <c:pt idx="31">
                  <c:v>287.35244660769564</c:v>
                </c:pt>
                <c:pt idx="32">
                  <c:v>282.89710007486684</c:v>
                </c:pt>
                <c:pt idx="33">
                  <c:v>278.64276600115807</c:v>
                </c:pt>
                <c:pt idx="34">
                  <c:v>274.57477004966444</c:v>
                </c:pt>
                <c:pt idx="35">
                  <c:v>270.67989514148042</c:v>
                </c:pt>
                <c:pt idx="36">
                  <c:v>266.94620052100896</c:v>
                </c:pt>
                <c:pt idx="37">
                  <c:v>263.36286754210431</c:v>
                </c:pt>
                <c:pt idx="38">
                  <c:v>259.92006763318903</c:v>
                </c:pt>
                <c:pt idx="39">
                  <c:v>256.60884876758007</c:v>
                </c:pt>
                <c:pt idx="40">
                  <c:v>253.42103744997618</c:v>
                </c:pt>
                <c:pt idx="41">
                  <c:v>250.34915377364615</c:v>
                </c:pt>
                <c:pt idx="42">
                  <c:v>247.38633753705963</c:v>
                </c:pt>
                <c:pt idx="43">
                  <c:v>244.52628375754594</c:v>
                </c:pt>
                <c:pt idx="44">
                  <c:v>241.76318620138841</c:v>
                </c:pt>
                <c:pt idx="45">
                  <c:v>239.09168777863266</c:v>
                </c:pt>
                <c:pt idx="46">
                  <c:v>236.5068368376858</c:v>
                </c:pt>
                <c:pt idx="47">
                  <c:v>234.00404854797299</c:v>
                </c:pt>
                <c:pt idx="48">
                  <c:v>231.57907068511489</c:v>
                </c:pt>
                <c:pt idx="49">
                  <c:v>229.22795323750228</c:v>
                </c:pt>
                <c:pt idx="50">
                  <c:v>226.94702133989225</c:v>
                </c:pt>
                <c:pt idx="51">
                  <c:v>224.73285111200818</c:v>
                </c:pt>
                <c:pt idx="52">
                  <c:v>222.58224804071224</c:v>
                </c:pt>
                <c:pt idx="53">
                  <c:v>220.49222759522965</c:v>
                </c:pt>
                <c:pt idx="54">
                  <c:v>218.45999780784086</c:v>
                </c:pt>
                <c:pt idx="55">
                  <c:v>216.48294358878454</c:v>
                </c:pt>
                <c:pt idx="56">
                  <c:v>214.55861257495232</c:v>
                </c:pt>
                <c:pt idx="57">
                  <c:v>212.68470233821628</c:v>
                </c:pt>
                <c:pt idx="58">
                  <c:v>210.85904880165438</c:v>
                </c:pt>
                <c:pt idx="59">
                  <c:v>209.07961573115088</c:v>
                </c:pt>
                <c:pt idx="60">
                  <c:v>207.34448518634414</c:v>
                </c:pt>
                <c:pt idx="61">
                  <c:v>205.65184882910552</c:v>
                </c:pt>
                <c:pt idx="62">
                  <c:v>204</c:v>
                </c:pt>
                <c:pt idx="63">
                  <c:v>202.387326483799</c:v>
                </c:pt>
                <c:pt idx="64">
                  <c:v>200.81230389433023</c:v>
                </c:pt>
                <c:pt idx="65">
                  <c:v>199.2734896169637</c:v>
                </c:pt>
                <c:pt idx="66">
                  <c:v>197.76951725401773</c:v>
                </c:pt>
                <c:pt idx="67">
                  <c:v>196.29909152447274</c:v>
                </c:pt>
                <c:pt idx="68">
                  <c:v>194.86098357472187</c:v>
                </c:pt>
                <c:pt idx="69">
                  <c:v>193.4540266617748</c:v>
                </c:pt>
                <c:pt idx="70">
                  <c:v>192.07711217445092</c:v>
                </c:pt>
                <c:pt idx="71">
                  <c:v>190.72918596172528</c:v>
                </c:pt>
                <c:pt idx="72">
                  <c:v>189.40924494059291</c:v>
                </c:pt>
                <c:pt idx="73">
                  <c:v>188.11633395864595</c:v>
                </c:pt>
                <c:pt idx="74">
                  <c:v>186.84954288906448</c:v>
                </c:pt>
                <c:pt idx="75">
                  <c:v>185.60800393794395</c:v>
                </c:pt>
                <c:pt idx="76">
                  <c:v>184.39088914585773</c:v>
                </c:pt>
                <c:pt idx="77">
                  <c:v>183.19740806731042</c:v>
                </c:pt>
                <c:pt idx="78">
                  <c:v>182.02680561330368</c:v>
                </c:pt>
                <c:pt idx="79">
                  <c:v>180.87836004363672</c:v>
                </c:pt>
                <c:pt idx="80">
                  <c:v>179.75138109681154</c:v>
                </c:pt>
                <c:pt idx="81">
                  <c:v>178.64520824653496</c:v>
                </c:pt>
                <c:pt idx="82">
                  <c:v>177.5592090748118</c:v>
                </c:pt>
                <c:pt idx="83">
                  <c:v>176.49277775252563</c:v>
                </c:pt>
                <c:pt idx="84">
                  <c:v>175.4453336192143</c:v>
                </c:pt>
                <c:pt idx="85">
                  <c:v>174.4163198544762</c:v>
                </c:pt>
                <c:pt idx="86">
                  <c:v>173.40520223410172</c:v>
                </c:pt>
                <c:pt idx="87">
                  <c:v>172.41146796461737</c:v>
                </c:pt>
                <c:pt idx="88">
                  <c:v>171.43462459046765</c:v>
                </c:pt>
                <c:pt idx="89">
                  <c:v>170.47419896854328</c:v>
                </c:pt>
                <c:pt idx="90">
                  <c:v>169.52973630520609</c:v>
                </c:pt>
                <c:pt idx="91">
                  <c:v>168.60079925135798</c:v>
                </c:pt>
                <c:pt idx="92">
                  <c:v>167.68696705146445</c:v>
                </c:pt>
                <c:pt idx="93">
                  <c:v>166.7878347427708</c:v>
                </c:pt>
                <c:pt idx="94">
                  <c:v>165.90301240125063</c:v>
                </c:pt>
                <c:pt idx="95">
                  <c:v>165.03212443109626</c:v>
                </c:pt>
                <c:pt idx="96">
                  <c:v>164.17480889481087</c:v>
                </c:pt>
                <c:pt idx="97">
                  <c:v>163.33071688118886</c:v>
                </c:pt>
                <c:pt idx="98">
                  <c:v>162.49951190867736</c:v>
                </c:pt>
                <c:pt idx="99">
                  <c:v>161.68086936180157</c:v>
                </c:pt>
                <c:pt idx="100">
                  <c:v>161.27616066858732</c:v>
                </c:pt>
                <c:pt idx="101">
                  <c:v>131.68143377105216</c:v>
                </c:pt>
                <c:pt idx="102">
                  <c:v>114.03946685248927</c:v>
                </c:pt>
                <c:pt idx="103">
                  <c:v>102</c:v>
                </c:pt>
                <c:pt idx="104">
                  <c:v>93.112834775878241</c:v>
                </c:pt>
                <c:pt idx="105">
                  <c:v>86.205733982308686</c:v>
                </c:pt>
                <c:pt idx="106">
                  <c:v>80.638080334293662</c:v>
                </c:pt>
                <c:pt idx="107">
                  <c:v>76.026311234992846</c:v>
                </c:pt>
                <c:pt idx="108">
                  <c:v>72.124891681027847</c:v>
                </c:pt>
                <c:pt idx="109">
                  <c:v>68.768385971250694</c:v>
                </c:pt>
                <c:pt idx="110">
                  <c:v>65.840716885526078</c:v>
                </c:pt>
                <c:pt idx="111">
                  <c:v>63.257714640496317</c:v>
                </c:pt>
                <c:pt idx="112">
                  <c:v>60.956659076054073</c:v>
                </c:pt>
                <c:pt idx="113">
                  <c:v>58.88972745734182</c:v>
                </c:pt>
                <c:pt idx="114">
                  <c:v>57.019733426244635</c:v>
                </c:pt>
                <c:pt idx="115">
                  <c:v>55.317266743757322</c:v>
                </c:pt>
                <c:pt idx="116">
                  <c:v>53.758720222862451</c:v>
                </c:pt>
                <c:pt idx="117">
                  <c:v>52.324895956342864</c:v>
                </c:pt>
                <c:pt idx="118">
                  <c:v>51</c:v>
                </c:pt>
                <c:pt idx="119">
                  <c:v>49.770903720375195</c:v>
                </c:pt>
                <c:pt idx="120">
                  <c:v>48.626592051525208</c:v>
                </c:pt>
                <c:pt idx="121">
                  <c:v>47.557745220256002</c:v>
                </c:pt>
                <c:pt idx="122">
                  <c:v>46.556417387939121</c:v>
                </c:pt>
                <c:pt idx="123">
                  <c:v>45.615786740995709</c:v>
                </c:pt>
                <c:pt idx="124">
                  <c:v>44.729958984658495</c:v>
                </c:pt>
                <c:pt idx="125">
                  <c:v>43.89381125701739</c:v>
                </c:pt>
                <c:pt idx="126">
                  <c:v>43.102866991154343</c:v>
                </c:pt>
                <c:pt idx="127">
                  <c:v>42.353194725407384</c:v>
                </c:pt>
                <c:pt idx="128">
                  <c:v>41.641325627314025</c:v>
                </c:pt>
                <c:pt idx="129">
                  <c:v>40.964185774027442</c:v>
                </c:pt>
                <c:pt idx="130">
                  <c:v>40.319040167146831</c:v>
                </c:pt>
                <c:pt idx="131">
                  <c:v>39.703446152237667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139-43D9-814E-AAADF4186F86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0.78574076080967736"/>
                  <c:y val="-0.6776008118542632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PowerConductive!$B$10:$B$17</c:f>
              <c:numCache>
                <c:formatCode>General</c:formatCode>
                <c:ptCount val="8"/>
                <c:pt idx="0">
                  <c:v>0</c:v>
                </c:pt>
                <c:pt idx="1">
                  <c:v>2.5</c:v>
                </c:pt>
                <c:pt idx="2">
                  <c:v>2.5</c:v>
                </c:pt>
                <c:pt idx="3">
                  <c:v>5</c:v>
                </c:pt>
                <c:pt idx="4">
                  <c:v>5</c:v>
                </c:pt>
                <c:pt idx="5">
                  <c:v>7.5</c:v>
                </c:pt>
                <c:pt idx="6">
                  <c:v>7.5</c:v>
                </c:pt>
                <c:pt idx="7">
                  <c:v>10</c:v>
                </c:pt>
              </c:numCache>
            </c:numRef>
          </c:xVal>
          <c:yVal>
            <c:numRef>
              <c:f>PowerConductive!$D$10:$D$17</c:f>
              <c:numCache>
                <c:formatCode>General</c:formatCode>
                <c:ptCount val="8"/>
                <c:pt idx="0">
                  <c:v>197</c:v>
                </c:pt>
                <c:pt idx="1">
                  <c:v>197</c:v>
                </c:pt>
                <c:pt idx="2">
                  <c:v>215</c:v>
                </c:pt>
                <c:pt idx="3">
                  <c:v>215</c:v>
                </c:pt>
                <c:pt idx="4">
                  <c:v>110</c:v>
                </c:pt>
                <c:pt idx="5">
                  <c:v>110</c:v>
                </c:pt>
                <c:pt idx="6">
                  <c:v>98.7</c:v>
                </c:pt>
                <c:pt idx="7">
                  <c:v>98.7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139-43D9-814E-AAADF4186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4082159"/>
        <c:axId val="507306879"/>
      </c:scatterChart>
      <c:valAx>
        <c:axId val="284082159"/>
        <c:scaling>
          <c:orientation val="minMax"/>
          <c:max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 b="1"/>
                  <a:t>Age [Ma]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7306879"/>
        <c:crosses val="autoZero"/>
        <c:crossBetween val="midCat"/>
      </c:valAx>
      <c:valAx>
        <c:axId val="507306879"/>
        <c:scaling>
          <c:orientation val="minMax"/>
          <c:max val="1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 b="1"/>
                  <a:t>q [mW/m</a:t>
                </a:r>
                <a:r>
                  <a:rPr lang="en-US" sz="1600" b="1" baseline="-25000"/>
                  <a:t>2</a:t>
                </a:r>
                <a:r>
                  <a:rPr lang="en-US" sz="1600" b="1"/>
                  <a:t>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0821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35126081209755"/>
          <c:y val="0.16366183299177672"/>
          <c:w val="0.86376161775617644"/>
          <c:h val="0.78859812942848273"/>
        </c:manualLayout>
      </c:layout>
      <c:scatterChart>
        <c:scatterStyle val="lineMarker"/>
        <c:varyColors val="0"/>
        <c:ser>
          <c:idx val="1"/>
          <c:order val="0"/>
          <c:tx>
            <c:strRef>
              <c:f>PowerConductive!$B$3</c:f>
              <c:strCache>
                <c:ptCount val="1"/>
                <c:pt idx="0">
                  <c:v>Effective Heatflow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PowerConductive!$B$10:$B$141</c:f>
              <c:numCache>
                <c:formatCode>General</c:formatCode>
                <c:ptCount val="132"/>
                <c:pt idx="0">
                  <c:v>0</c:v>
                </c:pt>
                <c:pt idx="1">
                  <c:v>2.5</c:v>
                </c:pt>
                <c:pt idx="2">
                  <c:v>2.5</c:v>
                </c:pt>
                <c:pt idx="3">
                  <c:v>5</c:v>
                </c:pt>
                <c:pt idx="4">
                  <c:v>5</c:v>
                </c:pt>
                <c:pt idx="5">
                  <c:v>7.5</c:v>
                </c:pt>
                <c:pt idx="6">
                  <c:v>7.5</c:v>
                </c:pt>
                <c:pt idx="7">
                  <c:v>10</c:v>
                </c:pt>
                <c:pt idx="8">
                  <c:v>10</c:v>
                </c:pt>
                <c:pt idx="9">
                  <c:v>12.5</c:v>
                </c:pt>
                <c:pt idx="10">
                  <c:v>12.5</c:v>
                </c:pt>
                <c:pt idx="11">
                  <c:v>15</c:v>
                </c:pt>
                <c:pt idx="12">
                  <c:v>15</c:v>
                </c:pt>
                <c:pt idx="13">
                  <c:v>17.5</c:v>
                </c:pt>
                <c:pt idx="14">
                  <c:v>17.5</c:v>
                </c:pt>
                <c:pt idx="15">
                  <c:v>20</c:v>
                </c:pt>
                <c:pt idx="16">
                  <c:v>20</c:v>
                </c:pt>
                <c:pt idx="17">
                  <c:v>22.5</c:v>
                </c:pt>
                <c:pt idx="18">
                  <c:v>22.5</c:v>
                </c:pt>
                <c:pt idx="19">
                  <c:v>25</c:v>
                </c:pt>
                <c:pt idx="20">
                  <c:v>25</c:v>
                </c:pt>
                <c:pt idx="21">
                  <c:v>27.5</c:v>
                </c:pt>
                <c:pt idx="22">
                  <c:v>27.5</c:v>
                </c:pt>
                <c:pt idx="23">
                  <c:v>30</c:v>
                </c:pt>
                <c:pt idx="24">
                  <c:v>30</c:v>
                </c:pt>
                <c:pt idx="25">
                  <c:v>32.5</c:v>
                </c:pt>
                <c:pt idx="26">
                  <c:v>32.5</c:v>
                </c:pt>
                <c:pt idx="27">
                  <c:v>35</c:v>
                </c:pt>
                <c:pt idx="28">
                  <c:v>35</c:v>
                </c:pt>
                <c:pt idx="29">
                  <c:v>37.5</c:v>
                </c:pt>
                <c:pt idx="30">
                  <c:v>37.5</c:v>
                </c:pt>
                <c:pt idx="31">
                  <c:v>40</c:v>
                </c:pt>
                <c:pt idx="32">
                  <c:v>40</c:v>
                </c:pt>
                <c:pt idx="33">
                  <c:v>42.5</c:v>
                </c:pt>
                <c:pt idx="34">
                  <c:v>42.5</c:v>
                </c:pt>
                <c:pt idx="35">
                  <c:v>45</c:v>
                </c:pt>
                <c:pt idx="36">
                  <c:v>45</c:v>
                </c:pt>
                <c:pt idx="37">
                  <c:v>47.5</c:v>
                </c:pt>
                <c:pt idx="38">
                  <c:v>47.5</c:v>
                </c:pt>
                <c:pt idx="39">
                  <c:v>50</c:v>
                </c:pt>
                <c:pt idx="40">
                  <c:v>50</c:v>
                </c:pt>
                <c:pt idx="41">
                  <c:v>52.5</c:v>
                </c:pt>
                <c:pt idx="42">
                  <c:v>52.5</c:v>
                </c:pt>
                <c:pt idx="43">
                  <c:v>55</c:v>
                </c:pt>
                <c:pt idx="44">
                  <c:v>55</c:v>
                </c:pt>
                <c:pt idx="45">
                  <c:v>57.5</c:v>
                </c:pt>
                <c:pt idx="46">
                  <c:v>57.5</c:v>
                </c:pt>
                <c:pt idx="47">
                  <c:v>60</c:v>
                </c:pt>
                <c:pt idx="48">
                  <c:v>60</c:v>
                </c:pt>
                <c:pt idx="49">
                  <c:v>62.5</c:v>
                </c:pt>
                <c:pt idx="50">
                  <c:v>62.5</c:v>
                </c:pt>
                <c:pt idx="51">
                  <c:v>65</c:v>
                </c:pt>
                <c:pt idx="52">
                  <c:v>65</c:v>
                </c:pt>
                <c:pt idx="53">
                  <c:v>67.5</c:v>
                </c:pt>
                <c:pt idx="54">
                  <c:v>67.5</c:v>
                </c:pt>
                <c:pt idx="55">
                  <c:v>70</c:v>
                </c:pt>
                <c:pt idx="56">
                  <c:v>70</c:v>
                </c:pt>
                <c:pt idx="57">
                  <c:v>72.5</c:v>
                </c:pt>
                <c:pt idx="58">
                  <c:v>72.5</c:v>
                </c:pt>
                <c:pt idx="59">
                  <c:v>75</c:v>
                </c:pt>
                <c:pt idx="60">
                  <c:v>75</c:v>
                </c:pt>
                <c:pt idx="61">
                  <c:v>77.5</c:v>
                </c:pt>
                <c:pt idx="62">
                  <c:v>77.5</c:v>
                </c:pt>
                <c:pt idx="63">
                  <c:v>80</c:v>
                </c:pt>
                <c:pt idx="64">
                  <c:v>80</c:v>
                </c:pt>
                <c:pt idx="65">
                  <c:v>82.5</c:v>
                </c:pt>
                <c:pt idx="66">
                  <c:v>82.5</c:v>
                </c:pt>
                <c:pt idx="67">
                  <c:v>85</c:v>
                </c:pt>
                <c:pt idx="68">
                  <c:v>85</c:v>
                </c:pt>
                <c:pt idx="69">
                  <c:v>87.5</c:v>
                </c:pt>
                <c:pt idx="70">
                  <c:v>87.5</c:v>
                </c:pt>
                <c:pt idx="71">
                  <c:v>90</c:v>
                </c:pt>
                <c:pt idx="72">
                  <c:v>90</c:v>
                </c:pt>
                <c:pt idx="73">
                  <c:v>92.5</c:v>
                </c:pt>
                <c:pt idx="74">
                  <c:v>92.5</c:v>
                </c:pt>
                <c:pt idx="75">
                  <c:v>95</c:v>
                </c:pt>
                <c:pt idx="76">
                  <c:v>95</c:v>
                </c:pt>
                <c:pt idx="77">
                  <c:v>97.5</c:v>
                </c:pt>
                <c:pt idx="78">
                  <c:v>97.5</c:v>
                </c:pt>
                <c:pt idx="79">
                  <c:v>100</c:v>
                </c:pt>
                <c:pt idx="80">
                  <c:v>100</c:v>
                </c:pt>
                <c:pt idx="81">
                  <c:v>102.5</c:v>
                </c:pt>
                <c:pt idx="82">
                  <c:v>102.5</c:v>
                </c:pt>
                <c:pt idx="83">
                  <c:v>105</c:v>
                </c:pt>
                <c:pt idx="84">
                  <c:v>105</c:v>
                </c:pt>
                <c:pt idx="85">
                  <c:v>107.5</c:v>
                </c:pt>
                <c:pt idx="86">
                  <c:v>107.5</c:v>
                </c:pt>
                <c:pt idx="87">
                  <c:v>110</c:v>
                </c:pt>
                <c:pt idx="88">
                  <c:v>110</c:v>
                </c:pt>
                <c:pt idx="89">
                  <c:v>112.5</c:v>
                </c:pt>
                <c:pt idx="90">
                  <c:v>112.5</c:v>
                </c:pt>
                <c:pt idx="91">
                  <c:v>115</c:v>
                </c:pt>
                <c:pt idx="92">
                  <c:v>115</c:v>
                </c:pt>
                <c:pt idx="93">
                  <c:v>117.5</c:v>
                </c:pt>
                <c:pt idx="94">
                  <c:v>117.5</c:v>
                </c:pt>
                <c:pt idx="95">
                  <c:v>120</c:v>
                </c:pt>
                <c:pt idx="96">
                  <c:v>120</c:v>
                </c:pt>
                <c:pt idx="97">
                  <c:v>122.5</c:v>
                </c:pt>
                <c:pt idx="98">
                  <c:v>122.5</c:v>
                </c:pt>
                <c:pt idx="99">
                  <c:v>125</c:v>
                </c:pt>
                <c:pt idx="100">
                  <c:v>125</c:v>
                </c:pt>
                <c:pt idx="101">
                  <c:v>127.5</c:v>
                </c:pt>
                <c:pt idx="102">
                  <c:v>127.5</c:v>
                </c:pt>
                <c:pt idx="103">
                  <c:v>130</c:v>
                </c:pt>
                <c:pt idx="104">
                  <c:v>130</c:v>
                </c:pt>
                <c:pt idx="105">
                  <c:v>132.5</c:v>
                </c:pt>
                <c:pt idx="106">
                  <c:v>132.5</c:v>
                </c:pt>
                <c:pt idx="107">
                  <c:v>135</c:v>
                </c:pt>
                <c:pt idx="108">
                  <c:v>135</c:v>
                </c:pt>
                <c:pt idx="109">
                  <c:v>137.5</c:v>
                </c:pt>
                <c:pt idx="110">
                  <c:v>137.5</c:v>
                </c:pt>
                <c:pt idx="111">
                  <c:v>140</c:v>
                </c:pt>
                <c:pt idx="112">
                  <c:v>140</c:v>
                </c:pt>
                <c:pt idx="113">
                  <c:v>142.5</c:v>
                </c:pt>
                <c:pt idx="114">
                  <c:v>142.5</c:v>
                </c:pt>
                <c:pt idx="115">
                  <c:v>145</c:v>
                </c:pt>
                <c:pt idx="116">
                  <c:v>145</c:v>
                </c:pt>
                <c:pt idx="117">
                  <c:v>147.5</c:v>
                </c:pt>
                <c:pt idx="118">
                  <c:v>147.5</c:v>
                </c:pt>
                <c:pt idx="119">
                  <c:v>150</c:v>
                </c:pt>
                <c:pt idx="120">
                  <c:v>150</c:v>
                </c:pt>
                <c:pt idx="121">
                  <c:v>152.5</c:v>
                </c:pt>
                <c:pt idx="122">
                  <c:v>152.5</c:v>
                </c:pt>
                <c:pt idx="123">
                  <c:v>155</c:v>
                </c:pt>
                <c:pt idx="124">
                  <c:v>155</c:v>
                </c:pt>
                <c:pt idx="125">
                  <c:v>157.5</c:v>
                </c:pt>
                <c:pt idx="126">
                  <c:v>157.5</c:v>
                </c:pt>
                <c:pt idx="127">
                  <c:v>160</c:v>
                </c:pt>
                <c:pt idx="128">
                  <c:v>160</c:v>
                </c:pt>
                <c:pt idx="129">
                  <c:v>162.5</c:v>
                </c:pt>
                <c:pt idx="130">
                  <c:v>162.5</c:v>
                </c:pt>
                <c:pt idx="131">
                  <c:v>165</c:v>
                </c:pt>
              </c:numCache>
            </c:numRef>
          </c:xVal>
          <c:yVal>
            <c:numRef>
              <c:f>PowerConductive!$C$10:$C$141</c:f>
              <c:numCache>
                <c:formatCode>General</c:formatCode>
                <c:ptCount val="132"/>
                <c:pt idx="0">
                  <c:v>276</c:v>
                </c:pt>
                <c:pt idx="1">
                  <c:v>276</c:v>
                </c:pt>
                <c:pt idx="2">
                  <c:v>192</c:v>
                </c:pt>
                <c:pt idx="3">
                  <c:v>192</c:v>
                </c:pt>
                <c:pt idx="4">
                  <c:v>145</c:v>
                </c:pt>
                <c:pt idx="5">
                  <c:v>145</c:v>
                </c:pt>
                <c:pt idx="6">
                  <c:v>85</c:v>
                </c:pt>
                <c:pt idx="7">
                  <c:v>85</c:v>
                </c:pt>
                <c:pt idx="8">
                  <c:v>78.7</c:v>
                </c:pt>
                <c:pt idx="9">
                  <c:v>78.7</c:v>
                </c:pt>
                <c:pt idx="10">
                  <c:v>75.400000000000006</c:v>
                </c:pt>
                <c:pt idx="11">
                  <c:v>75.400000000000006</c:v>
                </c:pt>
                <c:pt idx="12">
                  <c:v>80</c:v>
                </c:pt>
                <c:pt idx="13">
                  <c:v>80</c:v>
                </c:pt>
                <c:pt idx="14">
                  <c:v>75.2</c:v>
                </c:pt>
                <c:pt idx="15">
                  <c:v>75.2</c:v>
                </c:pt>
                <c:pt idx="16">
                  <c:v>54.2</c:v>
                </c:pt>
                <c:pt idx="17">
                  <c:v>54.2</c:v>
                </c:pt>
                <c:pt idx="18">
                  <c:v>61.6</c:v>
                </c:pt>
                <c:pt idx="19">
                  <c:v>61.6</c:v>
                </c:pt>
                <c:pt idx="20">
                  <c:v>64.5</c:v>
                </c:pt>
                <c:pt idx="21">
                  <c:v>64.5</c:v>
                </c:pt>
                <c:pt idx="22">
                  <c:v>65.2</c:v>
                </c:pt>
                <c:pt idx="23">
                  <c:v>65.2</c:v>
                </c:pt>
                <c:pt idx="24">
                  <c:v>69</c:v>
                </c:pt>
                <c:pt idx="25">
                  <c:v>69</c:v>
                </c:pt>
                <c:pt idx="26">
                  <c:v>62</c:v>
                </c:pt>
                <c:pt idx="27">
                  <c:v>62</c:v>
                </c:pt>
                <c:pt idx="28">
                  <c:v>70.8</c:v>
                </c:pt>
                <c:pt idx="29">
                  <c:v>70.8</c:v>
                </c:pt>
                <c:pt idx="30">
                  <c:v>53</c:v>
                </c:pt>
                <c:pt idx="31">
                  <c:v>53</c:v>
                </c:pt>
                <c:pt idx="32">
                  <c:v>70.599999999999994</c:v>
                </c:pt>
                <c:pt idx="33">
                  <c:v>70.599999999999994</c:v>
                </c:pt>
                <c:pt idx="34">
                  <c:v>63.5</c:v>
                </c:pt>
                <c:pt idx="35">
                  <c:v>63.5</c:v>
                </c:pt>
                <c:pt idx="36">
                  <c:v>54.8</c:v>
                </c:pt>
                <c:pt idx="37">
                  <c:v>54.8</c:v>
                </c:pt>
                <c:pt idx="38">
                  <c:v>64.099999999999994</c:v>
                </c:pt>
                <c:pt idx="39">
                  <c:v>64.099999999999994</c:v>
                </c:pt>
                <c:pt idx="40">
                  <c:v>65</c:v>
                </c:pt>
                <c:pt idx="41">
                  <c:v>65</c:v>
                </c:pt>
                <c:pt idx="42">
                  <c:v>63.1</c:v>
                </c:pt>
                <c:pt idx="43">
                  <c:v>63.1</c:v>
                </c:pt>
                <c:pt idx="44">
                  <c:v>65</c:v>
                </c:pt>
                <c:pt idx="45">
                  <c:v>65</c:v>
                </c:pt>
                <c:pt idx="46">
                  <c:v>62</c:v>
                </c:pt>
                <c:pt idx="47">
                  <c:v>62</c:v>
                </c:pt>
                <c:pt idx="48">
                  <c:v>57.8</c:v>
                </c:pt>
                <c:pt idx="49">
                  <c:v>57.8</c:v>
                </c:pt>
                <c:pt idx="50">
                  <c:v>59.5</c:v>
                </c:pt>
                <c:pt idx="51">
                  <c:v>59.5</c:v>
                </c:pt>
                <c:pt idx="52">
                  <c:v>58.6</c:v>
                </c:pt>
                <c:pt idx="53">
                  <c:v>58.6</c:v>
                </c:pt>
                <c:pt idx="54">
                  <c:v>62.4</c:v>
                </c:pt>
                <c:pt idx="55">
                  <c:v>62.4</c:v>
                </c:pt>
                <c:pt idx="56">
                  <c:v>64.5</c:v>
                </c:pt>
                <c:pt idx="57">
                  <c:v>64.5</c:v>
                </c:pt>
                <c:pt idx="58">
                  <c:v>62</c:v>
                </c:pt>
                <c:pt idx="59">
                  <c:v>62</c:v>
                </c:pt>
                <c:pt idx="60">
                  <c:v>63.6</c:v>
                </c:pt>
                <c:pt idx="61">
                  <c:v>63.6</c:v>
                </c:pt>
                <c:pt idx="62">
                  <c:v>63.6</c:v>
                </c:pt>
                <c:pt idx="63">
                  <c:v>63.6</c:v>
                </c:pt>
                <c:pt idx="64">
                  <c:v>60.3</c:v>
                </c:pt>
                <c:pt idx="65">
                  <c:v>60.3</c:v>
                </c:pt>
                <c:pt idx="66">
                  <c:v>59.7</c:v>
                </c:pt>
                <c:pt idx="67">
                  <c:v>59.7</c:v>
                </c:pt>
                <c:pt idx="68">
                  <c:v>52</c:v>
                </c:pt>
                <c:pt idx="69">
                  <c:v>52</c:v>
                </c:pt>
                <c:pt idx="70">
                  <c:v>56</c:v>
                </c:pt>
                <c:pt idx="71">
                  <c:v>56</c:v>
                </c:pt>
                <c:pt idx="72">
                  <c:v>54.4</c:v>
                </c:pt>
                <c:pt idx="73">
                  <c:v>54.4</c:v>
                </c:pt>
                <c:pt idx="74">
                  <c:v>56.5</c:v>
                </c:pt>
                <c:pt idx="75">
                  <c:v>56.5</c:v>
                </c:pt>
                <c:pt idx="76">
                  <c:v>55.1</c:v>
                </c:pt>
                <c:pt idx="77">
                  <c:v>55.1</c:v>
                </c:pt>
                <c:pt idx="78">
                  <c:v>55</c:v>
                </c:pt>
                <c:pt idx="79">
                  <c:v>55</c:v>
                </c:pt>
                <c:pt idx="80">
                  <c:v>56.4</c:v>
                </c:pt>
                <c:pt idx="81">
                  <c:v>56.4</c:v>
                </c:pt>
                <c:pt idx="82">
                  <c:v>57.5</c:v>
                </c:pt>
                <c:pt idx="83">
                  <c:v>57.5</c:v>
                </c:pt>
                <c:pt idx="84">
                  <c:v>55.7</c:v>
                </c:pt>
                <c:pt idx="85">
                  <c:v>55.7</c:v>
                </c:pt>
                <c:pt idx="86">
                  <c:v>54.2</c:v>
                </c:pt>
                <c:pt idx="87">
                  <c:v>54.2</c:v>
                </c:pt>
                <c:pt idx="88">
                  <c:v>58.2</c:v>
                </c:pt>
                <c:pt idx="89">
                  <c:v>58.2</c:v>
                </c:pt>
                <c:pt idx="90">
                  <c:v>50.1</c:v>
                </c:pt>
                <c:pt idx="91">
                  <c:v>50.1</c:v>
                </c:pt>
                <c:pt idx="92">
                  <c:v>56</c:v>
                </c:pt>
                <c:pt idx="93">
                  <c:v>56</c:v>
                </c:pt>
                <c:pt idx="94">
                  <c:v>45.7</c:v>
                </c:pt>
                <c:pt idx="95">
                  <c:v>45.7</c:v>
                </c:pt>
                <c:pt idx="96">
                  <c:v>53.6</c:v>
                </c:pt>
                <c:pt idx="97">
                  <c:v>53.6</c:v>
                </c:pt>
                <c:pt idx="98">
                  <c:v>53.6</c:v>
                </c:pt>
                <c:pt idx="99">
                  <c:v>53.6</c:v>
                </c:pt>
                <c:pt idx="100">
                  <c:v>50.3</c:v>
                </c:pt>
                <c:pt idx="101">
                  <c:v>50.3</c:v>
                </c:pt>
                <c:pt idx="102">
                  <c:v>50</c:v>
                </c:pt>
                <c:pt idx="103">
                  <c:v>50</c:v>
                </c:pt>
                <c:pt idx="104">
                  <c:v>53.6</c:v>
                </c:pt>
                <c:pt idx="105">
                  <c:v>53.6</c:v>
                </c:pt>
                <c:pt idx="106">
                  <c:v>51.1</c:v>
                </c:pt>
                <c:pt idx="107">
                  <c:v>51.1</c:v>
                </c:pt>
                <c:pt idx="108">
                  <c:v>49.3</c:v>
                </c:pt>
                <c:pt idx="109">
                  <c:v>49.3</c:v>
                </c:pt>
                <c:pt idx="110">
                  <c:v>51.5</c:v>
                </c:pt>
                <c:pt idx="111">
                  <c:v>51.5</c:v>
                </c:pt>
                <c:pt idx="112">
                  <c:v>49.2</c:v>
                </c:pt>
                <c:pt idx="113">
                  <c:v>49.2</c:v>
                </c:pt>
                <c:pt idx="114">
                  <c:v>51.8</c:v>
                </c:pt>
                <c:pt idx="115">
                  <c:v>51.8</c:v>
                </c:pt>
                <c:pt idx="116">
                  <c:v>48.2</c:v>
                </c:pt>
                <c:pt idx="117">
                  <c:v>48.2</c:v>
                </c:pt>
                <c:pt idx="118">
                  <c:v>51.5</c:v>
                </c:pt>
                <c:pt idx="119">
                  <c:v>51.5</c:v>
                </c:pt>
                <c:pt idx="120">
                  <c:v>50.7</c:v>
                </c:pt>
                <c:pt idx="121">
                  <c:v>50.7</c:v>
                </c:pt>
                <c:pt idx="122">
                  <c:v>44.4</c:v>
                </c:pt>
                <c:pt idx="123">
                  <c:v>44.4</c:v>
                </c:pt>
                <c:pt idx="124">
                  <c:v>45.6</c:v>
                </c:pt>
                <c:pt idx="125">
                  <c:v>45.6</c:v>
                </c:pt>
                <c:pt idx="126">
                  <c:v>48.6</c:v>
                </c:pt>
                <c:pt idx="127">
                  <c:v>48.6</c:v>
                </c:pt>
                <c:pt idx="128">
                  <c:v>48.8</c:v>
                </c:pt>
                <c:pt idx="129">
                  <c:v>48.8</c:v>
                </c:pt>
                <c:pt idx="130">
                  <c:v>44</c:v>
                </c:pt>
                <c:pt idx="131">
                  <c:v>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F9-4AA4-9034-AC0CE8709F03}"/>
            </c:ext>
          </c:extLst>
        </c:ser>
        <c:ser>
          <c:idx val="0"/>
          <c:order val="1"/>
          <c:tx>
            <c:strRef>
              <c:f>PowerConductive!$F$3</c:f>
              <c:strCache>
                <c:ptCount val="1"/>
                <c:pt idx="0">
                  <c:v>Predicted heat flow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PowerConductive!$F$10:$F$141</c:f>
              <c:numCache>
                <c:formatCode>General</c:formatCode>
                <c:ptCount val="132"/>
                <c:pt idx="0">
                  <c:v>0.05</c:v>
                </c:pt>
                <c:pt idx="1">
                  <c:v>0.15</c:v>
                </c:pt>
                <c:pt idx="2">
                  <c:v>0.25</c:v>
                </c:pt>
                <c:pt idx="3">
                  <c:v>0.35</c:v>
                </c:pt>
                <c:pt idx="4">
                  <c:v>0.45</c:v>
                </c:pt>
                <c:pt idx="5">
                  <c:v>0.55000000000000004</c:v>
                </c:pt>
                <c:pt idx="6">
                  <c:v>0.65</c:v>
                </c:pt>
                <c:pt idx="7">
                  <c:v>0.75</c:v>
                </c:pt>
                <c:pt idx="8">
                  <c:v>0.85</c:v>
                </c:pt>
                <c:pt idx="9">
                  <c:v>0.95</c:v>
                </c:pt>
                <c:pt idx="10">
                  <c:v>1.05</c:v>
                </c:pt>
                <c:pt idx="11">
                  <c:v>1.1499999999999999</c:v>
                </c:pt>
                <c:pt idx="12">
                  <c:v>1.25</c:v>
                </c:pt>
                <c:pt idx="13">
                  <c:v>1.35</c:v>
                </c:pt>
                <c:pt idx="14">
                  <c:v>1.45</c:v>
                </c:pt>
                <c:pt idx="15">
                  <c:v>1.55</c:v>
                </c:pt>
                <c:pt idx="16">
                  <c:v>1.65</c:v>
                </c:pt>
                <c:pt idx="17">
                  <c:v>1.75</c:v>
                </c:pt>
                <c:pt idx="18">
                  <c:v>1.85</c:v>
                </c:pt>
                <c:pt idx="19">
                  <c:v>1.95</c:v>
                </c:pt>
                <c:pt idx="20">
                  <c:v>2.0499999999999998</c:v>
                </c:pt>
                <c:pt idx="21">
                  <c:v>2.15</c:v>
                </c:pt>
                <c:pt idx="22">
                  <c:v>2.25</c:v>
                </c:pt>
                <c:pt idx="23">
                  <c:v>2.35</c:v>
                </c:pt>
                <c:pt idx="24">
                  <c:v>2.4500000000000002</c:v>
                </c:pt>
                <c:pt idx="25">
                  <c:v>2.5499999999999998</c:v>
                </c:pt>
                <c:pt idx="26">
                  <c:v>2.65</c:v>
                </c:pt>
                <c:pt idx="27">
                  <c:v>2.75</c:v>
                </c:pt>
                <c:pt idx="28">
                  <c:v>2.85</c:v>
                </c:pt>
                <c:pt idx="29">
                  <c:v>2.95</c:v>
                </c:pt>
                <c:pt idx="30">
                  <c:v>3.05</c:v>
                </c:pt>
                <c:pt idx="31">
                  <c:v>3.15</c:v>
                </c:pt>
                <c:pt idx="32">
                  <c:v>3.25</c:v>
                </c:pt>
                <c:pt idx="33">
                  <c:v>3.35</c:v>
                </c:pt>
                <c:pt idx="34">
                  <c:v>3.45</c:v>
                </c:pt>
                <c:pt idx="35">
                  <c:v>3.55</c:v>
                </c:pt>
                <c:pt idx="36">
                  <c:v>3.65</c:v>
                </c:pt>
                <c:pt idx="37">
                  <c:v>3.75</c:v>
                </c:pt>
                <c:pt idx="38">
                  <c:v>3.85</c:v>
                </c:pt>
                <c:pt idx="39">
                  <c:v>3.95</c:v>
                </c:pt>
                <c:pt idx="40">
                  <c:v>4.05</c:v>
                </c:pt>
                <c:pt idx="41">
                  <c:v>4.1500000000000004</c:v>
                </c:pt>
                <c:pt idx="42">
                  <c:v>4.25</c:v>
                </c:pt>
                <c:pt idx="43">
                  <c:v>4.3499999999999996</c:v>
                </c:pt>
                <c:pt idx="44">
                  <c:v>4.45</c:v>
                </c:pt>
                <c:pt idx="45">
                  <c:v>4.55</c:v>
                </c:pt>
                <c:pt idx="46">
                  <c:v>4.6500000000000004</c:v>
                </c:pt>
                <c:pt idx="47">
                  <c:v>4.75</c:v>
                </c:pt>
                <c:pt idx="48">
                  <c:v>4.8499999999999996</c:v>
                </c:pt>
                <c:pt idx="49">
                  <c:v>4.95</c:v>
                </c:pt>
                <c:pt idx="50">
                  <c:v>5.05</c:v>
                </c:pt>
                <c:pt idx="51">
                  <c:v>5.15</c:v>
                </c:pt>
                <c:pt idx="52">
                  <c:v>5.25</c:v>
                </c:pt>
                <c:pt idx="53">
                  <c:v>5.35</c:v>
                </c:pt>
                <c:pt idx="54">
                  <c:v>5.45</c:v>
                </c:pt>
                <c:pt idx="55">
                  <c:v>5.55</c:v>
                </c:pt>
                <c:pt idx="56">
                  <c:v>5.65</c:v>
                </c:pt>
                <c:pt idx="57">
                  <c:v>5.75</c:v>
                </c:pt>
                <c:pt idx="58">
                  <c:v>5.85</c:v>
                </c:pt>
                <c:pt idx="59">
                  <c:v>5.95</c:v>
                </c:pt>
                <c:pt idx="60">
                  <c:v>6.05</c:v>
                </c:pt>
                <c:pt idx="61">
                  <c:v>6.15</c:v>
                </c:pt>
                <c:pt idx="62">
                  <c:v>6.25</c:v>
                </c:pt>
                <c:pt idx="63">
                  <c:v>6.35</c:v>
                </c:pt>
                <c:pt idx="64">
                  <c:v>6.45</c:v>
                </c:pt>
                <c:pt idx="65">
                  <c:v>6.55</c:v>
                </c:pt>
                <c:pt idx="66">
                  <c:v>6.65</c:v>
                </c:pt>
                <c:pt idx="67">
                  <c:v>6.75</c:v>
                </c:pt>
                <c:pt idx="68">
                  <c:v>6.85</c:v>
                </c:pt>
                <c:pt idx="69">
                  <c:v>6.95</c:v>
                </c:pt>
                <c:pt idx="70">
                  <c:v>7.05</c:v>
                </c:pt>
                <c:pt idx="71">
                  <c:v>7.15</c:v>
                </c:pt>
                <c:pt idx="72">
                  <c:v>7.25</c:v>
                </c:pt>
                <c:pt idx="73">
                  <c:v>7.35</c:v>
                </c:pt>
                <c:pt idx="74">
                  <c:v>7.45</c:v>
                </c:pt>
                <c:pt idx="75">
                  <c:v>7.55</c:v>
                </c:pt>
                <c:pt idx="76">
                  <c:v>7.65</c:v>
                </c:pt>
                <c:pt idx="77">
                  <c:v>7.75</c:v>
                </c:pt>
                <c:pt idx="78">
                  <c:v>7.85</c:v>
                </c:pt>
                <c:pt idx="79">
                  <c:v>7.95</c:v>
                </c:pt>
                <c:pt idx="80">
                  <c:v>8.0500000000000007</c:v>
                </c:pt>
                <c:pt idx="81">
                  <c:v>8.15</c:v>
                </c:pt>
                <c:pt idx="82">
                  <c:v>8.25</c:v>
                </c:pt>
                <c:pt idx="83">
                  <c:v>8.35</c:v>
                </c:pt>
                <c:pt idx="84">
                  <c:v>8.4499999999999993</c:v>
                </c:pt>
                <c:pt idx="85">
                  <c:v>8.5500000000000007</c:v>
                </c:pt>
                <c:pt idx="86">
                  <c:v>8.65</c:v>
                </c:pt>
                <c:pt idx="87">
                  <c:v>8.75</c:v>
                </c:pt>
                <c:pt idx="88">
                  <c:v>8.85</c:v>
                </c:pt>
                <c:pt idx="89">
                  <c:v>8.9499999999999993</c:v>
                </c:pt>
                <c:pt idx="90">
                  <c:v>9.0500000000000007</c:v>
                </c:pt>
                <c:pt idx="91">
                  <c:v>9.15</c:v>
                </c:pt>
                <c:pt idx="92">
                  <c:v>9.25</c:v>
                </c:pt>
                <c:pt idx="93">
                  <c:v>9.35</c:v>
                </c:pt>
                <c:pt idx="94">
                  <c:v>9.4499999999999993</c:v>
                </c:pt>
                <c:pt idx="95">
                  <c:v>9.5500000000000007</c:v>
                </c:pt>
                <c:pt idx="96">
                  <c:v>9.65</c:v>
                </c:pt>
                <c:pt idx="97">
                  <c:v>9.75</c:v>
                </c:pt>
                <c:pt idx="98">
                  <c:v>9.85</c:v>
                </c:pt>
                <c:pt idx="99">
                  <c:v>9.9499999999999993</c:v>
                </c:pt>
                <c:pt idx="100">
                  <c:v>10</c:v>
                </c:pt>
                <c:pt idx="101">
                  <c:v>15</c:v>
                </c:pt>
                <c:pt idx="102">
                  <c:v>20</c:v>
                </c:pt>
                <c:pt idx="103">
                  <c:v>25</c:v>
                </c:pt>
                <c:pt idx="104">
                  <c:v>30</c:v>
                </c:pt>
                <c:pt idx="105">
                  <c:v>35</c:v>
                </c:pt>
                <c:pt idx="106">
                  <c:v>40</c:v>
                </c:pt>
                <c:pt idx="107">
                  <c:v>45</c:v>
                </c:pt>
                <c:pt idx="108">
                  <c:v>50</c:v>
                </c:pt>
                <c:pt idx="109">
                  <c:v>55</c:v>
                </c:pt>
                <c:pt idx="110">
                  <c:v>60</c:v>
                </c:pt>
                <c:pt idx="111">
                  <c:v>65</c:v>
                </c:pt>
                <c:pt idx="112">
                  <c:v>70</c:v>
                </c:pt>
                <c:pt idx="113">
                  <c:v>75</c:v>
                </c:pt>
                <c:pt idx="114">
                  <c:v>80</c:v>
                </c:pt>
                <c:pt idx="115">
                  <c:v>85</c:v>
                </c:pt>
                <c:pt idx="116">
                  <c:v>90</c:v>
                </c:pt>
                <c:pt idx="117">
                  <c:v>95</c:v>
                </c:pt>
                <c:pt idx="118">
                  <c:v>100</c:v>
                </c:pt>
                <c:pt idx="119">
                  <c:v>105</c:v>
                </c:pt>
                <c:pt idx="120">
                  <c:v>110</c:v>
                </c:pt>
                <c:pt idx="121">
                  <c:v>115</c:v>
                </c:pt>
                <c:pt idx="122">
                  <c:v>120</c:v>
                </c:pt>
                <c:pt idx="123">
                  <c:v>125</c:v>
                </c:pt>
                <c:pt idx="124">
                  <c:v>130</c:v>
                </c:pt>
                <c:pt idx="125">
                  <c:v>135</c:v>
                </c:pt>
                <c:pt idx="126">
                  <c:v>140</c:v>
                </c:pt>
                <c:pt idx="127">
                  <c:v>145</c:v>
                </c:pt>
                <c:pt idx="128">
                  <c:v>150</c:v>
                </c:pt>
                <c:pt idx="129">
                  <c:v>155</c:v>
                </c:pt>
                <c:pt idx="130">
                  <c:v>160</c:v>
                </c:pt>
                <c:pt idx="131">
                  <c:v>165</c:v>
                </c:pt>
              </c:numCache>
            </c:numRef>
          </c:xVal>
          <c:yVal>
            <c:numRef>
              <c:f>PowerConductive!$G$10:$G$141</c:f>
              <c:numCache>
                <c:formatCode>General</c:formatCode>
                <c:ptCount val="132"/>
                <c:pt idx="0">
                  <c:v>2280.7893370497854</c:v>
                </c:pt>
                <c:pt idx="1">
                  <c:v>1316.8143377105216</c:v>
                </c:pt>
                <c:pt idx="2">
                  <c:v>1020</c:v>
                </c:pt>
                <c:pt idx="3">
                  <c:v>862.05733982308698</c:v>
                </c:pt>
                <c:pt idx="4">
                  <c:v>760.26311234992852</c:v>
                </c:pt>
                <c:pt idx="5">
                  <c:v>687.68385971250689</c:v>
                </c:pt>
                <c:pt idx="6">
                  <c:v>632.57714640496306</c:v>
                </c:pt>
                <c:pt idx="7">
                  <c:v>588.89727457341826</c:v>
                </c:pt>
                <c:pt idx="8">
                  <c:v>553.17266743757318</c:v>
                </c:pt>
                <c:pt idx="9">
                  <c:v>523.24895956342857</c:v>
                </c:pt>
                <c:pt idx="10">
                  <c:v>497.7090372037519</c:v>
                </c:pt>
                <c:pt idx="11">
                  <c:v>475.57745220255998</c:v>
                </c:pt>
                <c:pt idx="12">
                  <c:v>456.15786740995708</c:v>
                </c:pt>
                <c:pt idx="13">
                  <c:v>438.93811257017387</c:v>
                </c:pt>
                <c:pt idx="14">
                  <c:v>423.53194725407383</c:v>
                </c:pt>
                <c:pt idx="15">
                  <c:v>409.64185774027442</c:v>
                </c:pt>
                <c:pt idx="16">
                  <c:v>397.03446152237672</c:v>
                </c:pt>
                <c:pt idx="17">
                  <c:v>385.52376246941174</c:v>
                </c:pt>
                <c:pt idx="18">
                  <c:v>374.95945726784197</c:v>
                </c:pt>
                <c:pt idx="19">
                  <c:v>365.21858576011078</c:v>
                </c:pt>
                <c:pt idx="20">
                  <c:v>356.19945084248491</c:v>
                </c:pt>
                <c:pt idx="21">
                  <c:v>347.81711312994145</c:v>
                </c:pt>
                <c:pt idx="22">
                  <c:v>340</c:v>
                </c:pt>
                <c:pt idx="23">
                  <c:v>332.68731725725547</c:v>
                </c:pt>
                <c:pt idx="24">
                  <c:v>325.82704814996936</c:v>
                </c:pt>
                <c:pt idx="25">
                  <c:v>319.37438845342626</c:v>
                </c:pt>
                <c:pt idx="26">
                  <c:v>313.29050958531514</c:v>
                </c:pt>
                <c:pt idx="27">
                  <c:v>307.54157146931891</c:v>
                </c:pt>
                <c:pt idx="28">
                  <c:v>302.09792765713706</c:v>
                </c:pt>
                <c:pt idx="29">
                  <c:v>296.93347996718683</c:v>
                </c:pt>
                <c:pt idx="30">
                  <c:v>292.02515050007281</c:v>
                </c:pt>
                <c:pt idx="31">
                  <c:v>287.35244660769564</c:v>
                </c:pt>
                <c:pt idx="32">
                  <c:v>282.89710007486684</c:v>
                </c:pt>
                <c:pt idx="33">
                  <c:v>278.64276600115807</c:v>
                </c:pt>
                <c:pt idx="34">
                  <c:v>274.57477004966444</c:v>
                </c:pt>
                <c:pt idx="35">
                  <c:v>270.67989514148042</c:v>
                </c:pt>
                <c:pt idx="36">
                  <c:v>266.94620052100896</c:v>
                </c:pt>
                <c:pt idx="37">
                  <c:v>263.36286754210431</c:v>
                </c:pt>
                <c:pt idx="38">
                  <c:v>259.92006763318903</c:v>
                </c:pt>
                <c:pt idx="39">
                  <c:v>256.60884876758007</c:v>
                </c:pt>
                <c:pt idx="40">
                  <c:v>253.42103744997618</c:v>
                </c:pt>
                <c:pt idx="41">
                  <c:v>250.34915377364615</c:v>
                </c:pt>
                <c:pt idx="42">
                  <c:v>247.38633753705963</c:v>
                </c:pt>
                <c:pt idx="43">
                  <c:v>244.52628375754594</c:v>
                </c:pt>
                <c:pt idx="44">
                  <c:v>241.76318620138841</c:v>
                </c:pt>
                <c:pt idx="45">
                  <c:v>239.09168777863266</c:v>
                </c:pt>
                <c:pt idx="46">
                  <c:v>236.5068368376858</c:v>
                </c:pt>
                <c:pt idx="47">
                  <c:v>234.00404854797299</c:v>
                </c:pt>
                <c:pt idx="48">
                  <c:v>231.57907068511489</c:v>
                </c:pt>
                <c:pt idx="49">
                  <c:v>229.22795323750228</c:v>
                </c:pt>
                <c:pt idx="50">
                  <c:v>226.94702133989225</c:v>
                </c:pt>
                <c:pt idx="51">
                  <c:v>224.73285111200818</c:v>
                </c:pt>
                <c:pt idx="52">
                  <c:v>222.58224804071224</c:v>
                </c:pt>
                <c:pt idx="53">
                  <c:v>220.49222759522965</c:v>
                </c:pt>
                <c:pt idx="54">
                  <c:v>218.45999780784086</c:v>
                </c:pt>
                <c:pt idx="55">
                  <c:v>216.48294358878454</c:v>
                </c:pt>
                <c:pt idx="56">
                  <c:v>214.55861257495232</c:v>
                </c:pt>
                <c:pt idx="57">
                  <c:v>212.68470233821628</c:v>
                </c:pt>
                <c:pt idx="58">
                  <c:v>210.85904880165438</c:v>
                </c:pt>
                <c:pt idx="59">
                  <c:v>209.07961573115088</c:v>
                </c:pt>
                <c:pt idx="60">
                  <c:v>207.34448518634414</c:v>
                </c:pt>
                <c:pt idx="61">
                  <c:v>205.65184882910552</c:v>
                </c:pt>
                <c:pt idx="62">
                  <c:v>204</c:v>
                </c:pt>
                <c:pt idx="63">
                  <c:v>202.387326483799</c:v>
                </c:pt>
                <c:pt idx="64">
                  <c:v>200.81230389433023</c:v>
                </c:pt>
                <c:pt idx="65">
                  <c:v>199.2734896169637</c:v>
                </c:pt>
                <c:pt idx="66">
                  <c:v>197.76951725401773</c:v>
                </c:pt>
                <c:pt idx="67">
                  <c:v>196.29909152447274</c:v>
                </c:pt>
                <c:pt idx="68">
                  <c:v>194.86098357472187</c:v>
                </c:pt>
                <c:pt idx="69">
                  <c:v>193.4540266617748</c:v>
                </c:pt>
                <c:pt idx="70">
                  <c:v>192.07711217445092</c:v>
                </c:pt>
                <c:pt idx="71">
                  <c:v>190.72918596172528</c:v>
                </c:pt>
                <c:pt idx="72">
                  <c:v>189.40924494059291</c:v>
                </c:pt>
                <c:pt idx="73">
                  <c:v>188.11633395864595</c:v>
                </c:pt>
                <c:pt idx="74">
                  <c:v>186.84954288906448</c:v>
                </c:pt>
                <c:pt idx="75">
                  <c:v>185.60800393794395</c:v>
                </c:pt>
                <c:pt idx="76">
                  <c:v>184.39088914585773</c:v>
                </c:pt>
                <c:pt idx="77">
                  <c:v>183.19740806731042</c:v>
                </c:pt>
                <c:pt idx="78">
                  <c:v>182.02680561330368</c:v>
                </c:pt>
                <c:pt idx="79">
                  <c:v>180.87836004363672</c:v>
                </c:pt>
                <c:pt idx="80">
                  <c:v>179.75138109681154</c:v>
                </c:pt>
                <c:pt idx="81">
                  <c:v>178.64520824653496</c:v>
                </c:pt>
                <c:pt idx="82">
                  <c:v>177.5592090748118</c:v>
                </c:pt>
                <c:pt idx="83">
                  <c:v>176.49277775252563</c:v>
                </c:pt>
                <c:pt idx="84">
                  <c:v>175.4453336192143</c:v>
                </c:pt>
                <c:pt idx="85">
                  <c:v>174.4163198544762</c:v>
                </c:pt>
                <c:pt idx="86">
                  <c:v>173.40520223410172</c:v>
                </c:pt>
                <c:pt idx="87">
                  <c:v>172.41146796461737</c:v>
                </c:pt>
                <c:pt idx="88">
                  <c:v>171.43462459046765</c:v>
                </c:pt>
                <c:pt idx="89">
                  <c:v>170.47419896854328</c:v>
                </c:pt>
                <c:pt idx="90">
                  <c:v>169.52973630520609</c:v>
                </c:pt>
                <c:pt idx="91">
                  <c:v>168.60079925135798</c:v>
                </c:pt>
                <c:pt idx="92">
                  <c:v>167.68696705146445</c:v>
                </c:pt>
                <c:pt idx="93">
                  <c:v>166.7878347427708</c:v>
                </c:pt>
                <c:pt idx="94">
                  <c:v>165.90301240125063</c:v>
                </c:pt>
                <c:pt idx="95">
                  <c:v>165.03212443109626</c:v>
                </c:pt>
                <c:pt idx="96">
                  <c:v>164.17480889481087</c:v>
                </c:pt>
                <c:pt idx="97">
                  <c:v>163.33071688118886</c:v>
                </c:pt>
                <c:pt idx="98">
                  <c:v>162.49951190867736</c:v>
                </c:pt>
                <c:pt idx="99">
                  <c:v>161.68086936180157</c:v>
                </c:pt>
                <c:pt idx="100">
                  <c:v>161.27616066858732</c:v>
                </c:pt>
                <c:pt idx="101">
                  <c:v>131.68143377105216</c:v>
                </c:pt>
                <c:pt idx="102">
                  <c:v>114.03946685248927</c:v>
                </c:pt>
                <c:pt idx="103">
                  <c:v>102</c:v>
                </c:pt>
                <c:pt idx="104">
                  <c:v>93.112834775878241</c:v>
                </c:pt>
                <c:pt idx="105">
                  <c:v>86.205733982308686</c:v>
                </c:pt>
                <c:pt idx="106">
                  <c:v>80.638080334293662</c:v>
                </c:pt>
                <c:pt idx="107">
                  <c:v>76.026311234992846</c:v>
                </c:pt>
                <c:pt idx="108">
                  <c:v>72.124891681027847</c:v>
                </c:pt>
                <c:pt idx="109">
                  <c:v>68.768385971250694</c:v>
                </c:pt>
                <c:pt idx="110">
                  <c:v>65.840716885526078</c:v>
                </c:pt>
                <c:pt idx="111">
                  <c:v>63.257714640496317</c:v>
                </c:pt>
                <c:pt idx="112">
                  <c:v>60.956659076054073</c:v>
                </c:pt>
                <c:pt idx="113">
                  <c:v>58.88972745734182</c:v>
                </c:pt>
                <c:pt idx="114">
                  <c:v>57.019733426244635</c:v>
                </c:pt>
                <c:pt idx="115">
                  <c:v>55.317266743757322</c:v>
                </c:pt>
                <c:pt idx="116">
                  <c:v>53.758720222862451</c:v>
                </c:pt>
                <c:pt idx="117">
                  <c:v>52.324895956342864</c:v>
                </c:pt>
                <c:pt idx="118">
                  <c:v>51</c:v>
                </c:pt>
                <c:pt idx="119">
                  <c:v>49.770903720375195</c:v>
                </c:pt>
                <c:pt idx="120">
                  <c:v>48.626592051525208</c:v>
                </c:pt>
                <c:pt idx="121">
                  <c:v>47.557745220256002</c:v>
                </c:pt>
                <c:pt idx="122">
                  <c:v>46.556417387939121</c:v>
                </c:pt>
                <c:pt idx="123">
                  <c:v>45.615786740995709</c:v>
                </c:pt>
                <c:pt idx="124">
                  <c:v>44.729958984658495</c:v>
                </c:pt>
                <c:pt idx="125">
                  <c:v>43.89381125701739</c:v>
                </c:pt>
                <c:pt idx="126">
                  <c:v>43.102866991154343</c:v>
                </c:pt>
                <c:pt idx="127">
                  <c:v>42.353194725407384</c:v>
                </c:pt>
                <c:pt idx="128">
                  <c:v>41.641325627314025</c:v>
                </c:pt>
                <c:pt idx="129">
                  <c:v>40.964185774027442</c:v>
                </c:pt>
                <c:pt idx="130">
                  <c:v>40.319040167146831</c:v>
                </c:pt>
                <c:pt idx="131">
                  <c:v>39.703446152237667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BF9-4AA4-9034-AC0CE8709F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4082159"/>
        <c:axId val="507306879"/>
      </c:scatterChart>
      <c:valAx>
        <c:axId val="28408215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Age [Ma]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7306879"/>
        <c:crosses val="autoZero"/>
        <c:crossBetween val="midCat"/>
      </c:valAx>
      <c:valAx>
        <c:axId val="507306879"/>
        <c:scaling>
          <c:orientation val="minMax"/>
          <c:max val="6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 [mW/m</a:t>
                </a:r>
                <a:r>
                  <a:rPr lang="en-US" baseline="-25000"/>
                  <a:t>2</a:t>
                </a:r>
                <a:r>
                  <a:rPr lang="en-US"/>
                  <a:t>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08215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361950</xdr:colOff>
      <xdr:row>49</xdr:row>
      <xdr:rowOff>79057</xdr:rowOff>
    </xdr:from>
    <xdr:to>
      <xdr:col>14</xdr:col>
      <xdr:colOff>781050</xdr:colOff>
      <xdr:row>75</xdr:row>
      <xdr:rowOff>123825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7E72DEB-1D38-48D3-ACD8-85C665CD9B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421005</xdr:colOff>
      <xdr:row>48</xdr:row>
      <xdr:rowOff>101917</xdr:rowOff>
    </xdr:from>
    <xdr:to>
      <xdr:col>36</xdr:col>
      <xdr:colOff>95250</xdr:colOff>
      <xdr:row>75</xdr:row>
      <xdr:rowOff>152400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935625B-9735-40CC-A460-459F4E5005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70407</xdr:colOff>
      <xdr:row>60</xdr:row>
      <xdr:rowOff>15019</xdr:rowOff>
    </xdr:from>
    <xdr:to>
      <xdr:col>8</xdr:col>
      <xdr:colOff>821839</xdr:colOff>
      <xdr:row>88</xdr:row>
      <xdr:rowOff>101474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8ECACEF-2CFD-4225-90A8-36E5028E3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54693</xdr:colOff>
      <xdr:row>31</xdr:row>
      <xdr:rowOff>86949</xdr:rowOff>
    </xdr:from>
    <xdr:to>
      <xdr:col>8</xdr:col>
      <xdr:colOff>789749</xdr:colOff>
      <xdr:row>59</xdr:row>
      <xdr:rowOff>83663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69AEAA5C-58EC-405E-8911-9A3D2AC31E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47"/>
  <sheetViews>
    <sheetView tabSelected="1" topLeftCell="A21" workbookViewId="0">
      <selection activeCell="K32" sqref="K32"/>
    </sheetView>
  </sheetViews>
  <sheetFormatPr baseColWidth="10" defaultColWidth="8.88671875" defaultRowHeight="14.4" x14ac:dyDescent="0.3"/>
  <cols>
    <col min="2" max="2" width="40.6640625" customWidth="1"/>
    <col min="3" max="3" width="14.109375" style="1" customWidth="1"/>
    <col min="4" max="4" width="15.77734375" style="1" bestFit="1" customWidth="1"/>
    <col min="5" max="8" width="12" style="1" bestFit="1" customWidth="1"/>
    <col min="9" max="9" width="18.21875" style="1" bestFit="1" customWidth="1"/>
    <col min="10" max="12" width="12" style="1" bestFit="1" customWidth="1"/>
    <col min="13" max="13" width="7.33203125" style="1" bestFit="1" customWidth="1"/>
    <col min="14" max="14" width="11.5546875" style="72" bestFit="1" customWidth="1"/>
    <col min="15" max="15" width="8.88671875" style="1"/>
    <col min="16" max="16" width="12" style="1" bestFit="1" customWidth="1"/>
    <col min="17" max="17" width="13.21875" style="1" bestFit="1" customWidth="1"/>
    <col min="18" max="18" width="12" style="1" bestFit="1" customWidth="1"/>
  </cols>
  <sheetData>
    <row r="2" spans="2:18" x14ac:dyDescent="0.3">
      <c r="B2" s="77"/>
      <c r="C2" s="78"/>
      <c r="D2" s="78"/>
      <c r="E2" s="78"/>
      <c r="F2" s="78"/>
      <c r="G2" s="78"/>
      <c r="H2" s="78"/>
      <c r="I2" s="78"/>
      <c r="J2" s="78"/>
      <c r="K2" s="78"/>
      <c r="L2" s="78"/>
      <c r="M2" s="79"/>
    </row>
    <row r="3" spans="2:18" x14ac:dyDescent="0.3">
      <c r="B3" s="80"/>
      <c r="C3" s="81"/>
      <c r="D3" s="81"/>
      <c r="E3" s="81"/>
      <c r="F3" s="81"/>
      <c r="G3" s="81"/>
      <c r="H3" s="81"/>
      <c r="I3" s="81"/>
      <c r="J3" s="81"/>
      <c r="K3" s="81"/>
      <c r="L3" s="81"/>
      <c r="M3" s="82"/>
    </row>
    <row r="4" spans="2:18" x14ac:dyDescent="0.3">
      <c r="C4"/>
      <c r="D4"/>
      <c r="E4" s="1" t="s">
        <v>1</v>
      </c>
      <c r="F4" s="1" t="s">
        <v>2</v>
      </c>
      <c r="G4" s="1" t="s">
        <v>4</v>
      </c>
      <c r="H4" s="1" t="s">
        <v>3</v>
      </c>
      <c r="I4" s="1" t="s">
        <v>129</v>
      </c>
      <c r="K4" s="33" t="s">
        <v>27</v>
      </c>
      <c r="O4" s="11" t="s">
        <v>128</v>
      </c>
    </row>
    <row r="5" spans="2:18" x14ac:dyDescent="0.3">
      <c r="C5"/>
      <c r="D5"/>
      <c r="I5"/>
    </row>
    <row r="6" spans="2:18" x14ac:dyDescent="0.3">
      <c r="B6" s="1" t="s">
        <v>0</v>
      </c>
      <c r="C6" s="1" t="s">
        <v>8</v>
      </c>
      <c r="E6" s="1">
        <v>1250</v>
      </c>
      <c r="F6" s="1">
        <v>1250</v>
      </c>
      <c r="G6" s="1">
        <v>1200</v>
      </c>
      <c r="H6" s="1">
        <v>1100</v>
      </c>
    </row>
    <row r="7" spans="2:18" x14ac:dyDescent="0.3">
      <c r="B7" s="1" t="s">
        <v>5</v>
      </c>
      <c r="C7" s="1" t="s">
        <v>9</v>
      </c>
      <c r="E7" s="1">
        <v>5.8</v>
      </c>
      <c r="F7" s="1">
        <v>8</v>
      </c>
      <c r="G7" s="1">
        <v>6</v>
      </c>
      <c r="H7" s="1">
        <v>15</v>
      </c>
      <c r="O7" s="64" t="s">
        <v>140</v>
      </c>
    </row>
    <row r="8" spans="2:18" x14ac:dyDescent="0.3">
      <c r="B8" s="1" t="s">
        <v>46</v>
      </c>
      <c r="C8" s="1" t="s">
        <v>9</v>
      </c>
      <c r="E8" s="1">
        <v>0.35</v>
      </c>
      <c r="F8" s="1">
        <v>0.75</v>
      </c>
      <c r="G8" s="1">
        <v>0.55000000000000004</v>
      </c>
      <c r="H8" s="1">
        <v>0.75</v>
      </c>
      <c r="O8" s="11" t="s">
        <v>139</v>
      </c>
    </row>
    <row r="9" spans="2:18" x14ac:dyDescent="0.3">
      <c r="B9" s="1" t="s">
        <v>12</v>
      </c>
      <c r="C9" s="1" t="s">
        <v>9</v>
      </c>
      <c r="E9" s="1">
        <v>22723</v>
      </c>
      <c r="F9" s="1">
        <v>37416</v>
      </c>
      <c r="G9" s="1">
        <v>11145</v>
      </c>
      <c r="H9" s="1">
        <v>21700</v>
      </c>
      <c r="K9" s="33">
        <f>SUM(E9:H9)</f>
        <v>92984</v>
      </c>
      <c r="L9" s="33"/>
      <c r="M9" s="33"/>
      <c r="N9" s="73"/>
      <c r="O9" s="64" t="s">
        <v>130</v>
      </c>
    </row>
    <row r="10" spans="2:18" x14ac:dyDescent="0.3">
      <c r="B10" s="1" t="s">
        <v>56</v>
      </c>
      <c r="C10" s="1" t="s">
        <v>13</v>
      </c>
      <c r="E10" s="1">
        <v>83.5</v>
      </c>
      <c r="F10" s="1">
        <v>18.600000000000001</v>
      </c>
      <c r="G10" s="1">
        <v>46.9</v>
      </c>
      <c r="H10" s="76">
        <f>(211*3500+220*1000+160*1000+209*1000+162*850+157*2500)/(3500+1000+1000+1000+850+2500)/(H7)</f>
        <v>12.573265651438241</v>
      </c>
      <c r="K10" s="33"/>
      <c r="L10" s="33"/>
      <c r="M10" s="33"/>
      <c r="N10" s="73"/>
      <c r="O10" s="64" t="s">
        <v>131</v>
      </c>
      <c r="R10" s="4"/>
    </row>
    <row r="11" spans="2:18" x14ac:dyDescent="0.3">
      <c r="B11" s="1" t="s">
        <v>6</v>
      </c>
      <c r="C11" s="1" t="s">
        <v>10</v>
      </c>
      <c r="E11" s="6">
        <v>1</v>
      </c>
      <c r="F11" s="6">
        <v>0.5</v>
      </c>
      <c r="G11" s="6">
        <v>1</v>
      </c>
      <c r="H11" s="6">
        <v>1</v>
      </c>
      <c r="K11" s="33"/>
      <c r="L11" s="33"/>
      <c r="M11" s="33"/>
      <c r="N11" s="73"/>
      <c r="O11" s="64" t="s">
        <v>132</v>
      </c>
      <c r="R11" s="5"/>
    </row>
    <row r="12" spans="2:18" x14ac:dyDescent="0.3">
      <c r="B12" s="1" t="s">
        <v>28</v>
      </c>
      <c r="C12" s="1" t="s">
        <v>33</v>
      </c>
      <c r="E12" s="4">
        <v>2800000000000</v>
      </c>
      <c r="F12" s="4">
        <v>2800000000000</v>
      </c>
      <c r="G12" s="4">
        <v>2800000000000</v>
      </c>
      <c r="H12" s="4">
        <v>2800000000000</v>
      </c>
      <c r="K12" s="33"/>
      <c r="L12" s="33"/>
      <c r="M12" s="33"/>
      <c r="N12" s="73"/>
    </row>
    <row r="13" spans="2:18" x14ac:dyDescent="0.3">
      <c r="B13" s="1" t="s">
        <v>29</v>
      </c>
      <c r="C13" s="1" t="s">
        <v>33</v>
      </c>
      <c r="E13" s="4">
        <v>3200000000000</v>
      </c>
      <c r="F13" s="4">
        <v>3200000000000</v>
      </c>
      <c r="G13" s="4">
        <v>3200000000000</v>
      </c>
      <c r="H13" s="4">
        <v>3200000000000</v>
      </c>
      <c r="K13" s="33"/>
      <c r="L13" s="33"/>
      <c r="M13" s="33"/>
      <c r="N13" s="73"/>
    </row>
    <row r="14" spans="2:18" x14ac:dyDescent="0.3">
      <c r="B14" s="1" t="s">
        <v>7</v>
      </c>
      <c r="C14" s="1" t="s">
        <v>11</v>
      </c>
      <c r="E14" s="1">
        <v>676</v>
      </c>
      <c r="F14" s="1">
        <v>676</v>
      </c>
      <c r="G14" s="1">
        <v>676</v>
      </c>
      <c r="H14" s="1">
        <v>676</v>
      </c>
      <c r="K14" s="33"/>
      <c r="L14" s="33"/>
      <c r="M14" s="33"/>
      <c r="N14" s="73"/>
      <c r="O14" s="11" t="s">
        <v>133</v>
      </c>
    </row>
    <row r="15" spans="2:18" x14ac:dyDescent="0.3">
      <c r="B15" s="1" t="s">
        <v>20</v>
      </c>
      <c r="C15" s="1" t="s">
        <v>54</v>
      </c>
      <c r="E15" s="10">
        <f>Cp_Rocks!P36/1000</f>
        <v>1.0120464524004535</v>
      </c>
      <c r="F15" s="10">
        <f>Cp_Rocks!P36/1000</f>
        <v>1.0120464524004535</v>
      </c>
      <c r="G15" s="10">
        <f>Cp_Rocks!P36/1000</f>
        <v>1.0120464524004535</v>
      </c>
      <c r="H15" s="10">
        <f>Cp_Rocks!P36/1000</f>
        <v>1.0120464524004535</v>
      </c>
      <c r="K15" s="33"/>
      <c r="L15" s="33"/>
      <c r="M15" s="33"/>
      <c r="N15" s="73"/>
      <c r="O15" s="11" t="s">
        <v>134</v>
      </c>
    </row>
    <row r="16" spans="2:18" x14ac:dyDescent="0.3">
      <c r="K16" s="33"/>
      <c r="L16" s="33"/>
      <c r="M16" s="33"/>
      <c r="N16" s="73"/>
    </row>
    <row r="17" spans="2:14" x14ac:dyDescent="0.3">
      <c r="B17" s="1" t="s">
        <v>16</v>
      </c>
      <c r="C17" s="1" t="s">
        <v>14</v>
      </c>
      <c r="E17" s="5">
        <f>E7*E9*E10*E11/1000000</f>
        <v>11.004748900000001</v>
      </c>
      <c r="F17" s="5">
        <f>F7*F9*F10*F11/1000000</f>
        <v>2.7837504000000002</v>
      </c>
      <c r="G17" s="5">
        <f>G7*G9*G10*G11/1000000</f>
        <v>3.1362030000000001</v>
      </c>
      <c r="H17" s="5">
        <f>H7*H9*H10*H11/1000000</f>
        <v>4.0925979695431476</v>
      </c>
      <c r="K17" s="32">
        <f>SUM(E17:H17)</f>
        <v>21.017300269543149</v>
      </c>
      <c r="L17" s="74" t="s">
        <v>137</v>
      </c>
      <c r="M17" s="33"/>
      <c r="N17" s="73"/>
    </row>
    <row r="18" spans="2:14" x14ac:dyDescent="0.3">
      <c r="B18" s="1" t="s">
        <v>32</v>
      </c>
      <c r="C18" s="1" t="s">
        <v>14</v>
      </c>
      <c r="E18" s="5">
        <f>E7*E9*E10*(1-E11)/1000000</f>
        <v>0</v>
      </c>
      <c r="F18" s="5">
        <f>F7*F9*F10*(1-F11)/1000000</f>
        <v>2.7837504000000002</v>
      </c>
      <c r="G18" s="5">
        <f>G7*G9*G10*(1-G11)/1000000</f>
        <v>0</v>
      </c>
      <c r="H18" s="5">
        <f>H7*H9*H10*(1-H11)/1000000</f>
        <v>0</v>
      </c>
      <c r="K18" s="32">
        <f>SUM(E18:H18)</f>
        <v>2.7837504000000002</v>
      </c>
      <c r="L18" s="32">
        <f>SUM(K17:K19)</f>
        <v>25.479198718020307</v>
      </c>
      <c r="M18" s="33"/>
      <c r="N18" s="73"/>
    </row>
    <row r="19" spans="2:14" x14ac:dyDescent="0.3">
      <c r="B19" s="1" t="s">
        <v>47</v>
      </c>
      <c r="C19" s="1" t="s">
        <v>14</v>
      </c>
      <c r="E19" s="5">
        <f>E8*E9*E10*(E11)/1000000</f>
        <v>0.66407967499999998</v>
      </c>
      <c r="F19" s="5">
        <f>F8*F9*F10*(1)/1000000</f>
        <v>0.52195320000000001</v>
      </c>
      <c r="G19" s="5">
        <f>G8*G9*G10*(G11)/1000000</f>
        <v>0.28748527500000004</v>
      </c>
      <c r="H19" s="5">
        <f>H8*H9*H10*(H11)/1000000</f>
        <v>0.20462989847715737</v>
      </c>
      <c r="K19" s="32">
        <f>SUM(E19:H19)</f>
        <v>1.6781480484771574</v>
      </c>
      <c r="L19" s="33"/>
      <c r="M19" s="33"/>
      <c r="N19" s="73"/>
    </row>
    <row r="20" spans="2:14" x14ac:dyDescent="0.3">
      <c r="K20" s="33"/>
      <c r="L20" s="33"/>
      <c r="M20" s="33"/>
      <c r="N20" s="73"/>
    </row>
    <row r="21" spans="2:14" x14ac:dyDescent="0.3">
      <c r="B21" s="1" t="s">
        <v>30</v>
      </c>
      <c r="C21" s="1" t="s">
        <v>17</v>
      </c>
      <c r="E21" s="4">
        <f>E12*E17</f>
        <v>30813296920000.004</v>
      </c>
      <c r="F21" s="4">
        <f>F12*F17</f>
        <v>7794501120000.001</v>
      </c>
      <c r="G21" s="4">
        <f t="shared" ref="E21:H22" si="0">G12*G17</f>
        <v>8781368400000</v>
      </c>
      <c r="H21" s="4">
        <f t="shared" si="0"/>
        <v>11459274314720.813</v>
      </c>
      <c r="K21" s="61">
        <f>SUM(E21:H21)</f>
        <v>58848440754720.82</v>
      </c>
      <c r="L21" s="75" t="s">
        <v>138</v>
      </c>
      <c r="M21" s="33"/>
      <c r="N21" s="73"/>
    </row>
    <row r="22" spans="2:14" x14ac:dyDescent="0.3">
      <c r="B22" s="1" t="s">
        <v>31</v>
      </c>
      <c r="C22" s="1" t="s">
        <v>17</v>
      </c>
      <c r="E22" s="4">
        <f t="shared" si="0"/>
        <v>0</v>
      </c>
      <c r="F22" s="4">
        <f>F13*F18</f>
        <v>8908001280000</v>
      </c>
      <c r="G22" s="4">
        <f t="shared" si="0"/>
        <v>0</v>
      </c>
      <c r="H22" s="4">
        <f t="shared" si="0"/>
        <v>0</v>
      </c>
      <c r="K22" s="61">
        <f>SUM(E22:H22)</f>
        <v>8908001280000</v>
      </c>
      <c r="L22" s="61">
        <f>SUM(K21:K23)</f>
        <v>72455256570456.859</v>
      </c>
      <c r="M22" s="33"/>
      <c r="N22" s="73"/>
    </row>
    <row r="23" spans="2:14" x14ac:dyDescent="0.3">
      <c r="B23" s="1" t="s">
        <v>48</v>
      </c>
      <c r="C23" s="1" t="s">
        <v>17</v>
      </c>
      <c r="E23" s="4">
        <f>E12*E19</f>
        <v>1859423090000</v>
      </c>
      <c r="F23" s="4">
        <f>F12*F19</f>
        <v>1461468960000</v>
      </c>
      <c r="G23" s="4">
        <f t="shared" ref="G23:H23" si="1">G12*G19</f>
        <v>804958770000.00012</v>
      </c>
      <c r="H23" s="4">
        <f t="shared" si="1"/>
        <v>572963715736.04065</v>
      </c>
      <c r="K23" s="61">
        <f>SUM(E23:H23)</f>
        <v>4698814535736.041</v>
      </c>
      <c r="L23" s="33"/>
      <c r="M23" s="33"/>
      <c r="N23" s="73"/>
    </row>
    <row r="24" spans="2:14" x14ac:dyDescent="0.3">
      <c r="K24" s="33"/>
      <c r="L24" s="33"/>
      <c r="M24" s="33"/>
      <c r="N24" s="73"/>
    </row>
    <row r="25" spans="2:14" x14ac:dyDescent="0.3">
      <c r="B25" s="1" t="s">
        <v>18</v>
      </c>
      <c r="C25" s="1" t="s">
        <v>55</v>
      </c>
      <c r="E25" s="4">
        <f>E11*E21*E14</f>
        <v>2.0829788717920004E+16</v>
      </c>
      <c r="F25" s="4">
        <f>F11*F21*F14</f>
        <v>2634541378560000.5</v>
      </c>
      <c r="G25" s="4">
        <f>G11*G21*G14</f>
        <v>5936205038400000</v>
      </c>
      <c r="H25" s="4">
        <f>H11*H21*H14</f>
        <v>7746469436751269</v>
      </c>
      <c r="K25" s="61">
        <f>SUM(E25:H25)</f>
        <v>3.7147004571631272E+16</v>
      </c>
      <c r="L25" s="33"/>
      <c r="M25" s="33"/>
      <c r="N25" s="73"/>
    </row>
    <row r="26" spans="2:14" x14ac:dyDescent="0.3">
      <c r="B26" s="1" t="s">
        <v>19</v>
      </c>
      <c r="C26" s="1" t="s">
        <v>55</v>
      </c>
      <c r="E26" s="4">
        <f>E21/E11*E15*E6</f>
        <v>3.8980609793309784E+16</v>
      </c>
      <c r="F26" s="4">
        <f>(F21/F11*F15*F6)+(F22/(1-F11)*F15*F6)</f>
        <v>4.2259270750325152E+16</v>
      </c>
      <c r="G26" s="4">
        <f>G21/G11*G15*G6</f>
        <v>1.0664583283729736E+16</v>
      </c>
      <c r="H26" s="4">
        <f>H21/H11*H15*H6</f>
        <v>1.275704970902652E+16</v>
      </c>
      <c r="K26" s="61">
        <f>SUM(E26:H26)</f>
        <v>1.046615135363912E+17</v>
      </c>
      <c r="L26" s="61"/>
      <c r="M26" s="33"/>
      <c r="N26" s="73"/>
    </row>
    <row r="27" spans="2:14" x14ac:dyDescent="0.3">
      <c r="B27" s="1" t="s">
        <v>49</v>
      </c>
      <c r="C27" s="1" t="s">
        <v>55</v>
      </c>
      <c r="E27" s="4">
        <f>(E11*E23*E14)+(E23/E11*E15*E6)</f>
        <v>3609248186022486.5</v>
      </c>
      <c r="F27" s="4">
        <f>(F11*F23*F14)+(F23/F11*F15*F6)</f>
        <v>4191662699133451</v>
      </c>
      <c r="G27" s="4">
        <f>(G11*G23*G14)+(G23/G11*G15*G6)</f>
        <v>1521738929528559.5</v>
      </c>
      <c r="H27" s="4">
        <f>(H11*H23*H14)+(H23/H11*H15*H6)</f>
        <v>1025175957288889.6</v>
      </c>
      <c r="K27" s="61">
        <f>SUM(E27:H27)</f>
        <v>1.0347825771973388E+16</v>
      </c>
      <c r="L27" s="33"/>
      <c r="M27" s="33"/>
      <c r="N27" s="73"/>
    </row>
    <row r="28" spans="2:14" x14ac:dyDescent="0.3">
      <c r="K28" s="33"/>
      <c r="L28" s="33"/>
      <c r="M28" s="33"/>
      <c r="N28" s="73"/>
    </row>
    <row r="29" spans="2:14" x14ac:dyDescent="0.3">
      <c r="K29" s="33"/>
      <c r="L29" s="33"/>
      <c r="M29" s="33"/>
      <c r="N29" s="73"/>
    </row>
    <row r="30" spans="2:14" x14ac:dyDescent="0.3">
      <c r="B30" s="1" t="s">
        <v>22</v>
      </c>
      <c r="C30" s="1" t="s">
        <v>25</v>
      </c>
      <c r="E30" s="4">
        <f>E25*1000/(365*24*60*60)</f>
        <v>660508267311.00977</v>
      </c>
      <c r="F30" s="4">
        <f t="shared" ref="F30:H31" si="2">F25*1000/(365*24*60*60)</f>
        <v>83540759086.758011</v>
      </c>
      <c r="G30" s="4">
        <f t="shared" si="2"/>
        <v>188235826940.63928</v>
      </c>
      <c r="H30" s="4">
        <f t="shared" si="2"/>
        <v>245638934447.97275</v>
      </c>
      <c r="K30" s="61">
        <f>SUM(E30:H30)</f>
        <v>1177923787786.3799</v>
      </c>
      <c r="L30" s="32">
        <f>K30/1000000000000</f>
        <v>1.17792378778638</v>
      </c>
      <c r="M30" s="33" t="s">
        <v>26</v>
      </c>
    </row>
    <row r="31" spans="2:14" x14ac:dyDescent="0.3">
      <c r="B31" s="1" t="s">
        <v>23</v>
      </c>
      <c r="C31" s="1" t="s">
        <v>25</v>
      </c>
      <c r="E31" s="4">
        <f>E26*1000/(365*24*60*60)</f>
        <v>1236067027946.1499</v>
      </c>
      <c r="F31" s="4">
        <f t="shared" si="2"/>
        <v>1340032684878.3977</v>
      </c>
      <c r="G31" s="4">
        <f t="shared" si="2"/>
        <v>338171717520.60297</v>
      </c>
      <c r="H31" s="4">
        <f t="shared" si="2"/>
        <v>404523392599.77545</v>
      </c>
      <c r="K31" s="61">
        <f>SUM(E31:H31)</f>
        <v>3318794822944.9263</v>
      </c>
      <c r="L31" s="32">
        <f>K31/1000000000000</f>
        <v>3.3187948229449264</v>
      </c>
      <c r="M31" s="33" t="s">
        <v>26</v>
      </c>
    </row>
    <row r="32" spans="2:14" x14ac:dyDescent="0.3">
      <c r="B32" s="1" t="s">
        <v>24</v>
      </c>
      <c r="C32" s="1" t="s">
        <v>25</v>
      </c>
      <c r="E32" s="4">
        <f>E30+E31</f>
        <v>1896575295257.1597</v>
      </c>
      <c r="F32" s="4">
        <f>F30+F31</f>
        <v>1423573443965.1558</v>
      </c>
      <c r="G32" s="4">
        <f>G30+G31</f>
        <v>526407544461.24225</v>
      </c>
      <c r="H32" s="4">
        <f>H30+H31</f>
        <v>650162327047.74817</v>
      </c>
      <c r="K32" s="61">
        <f>SUM(E32:H32)</f>
        <v>4496718610731.3057</v>
      </c>
      <c r="L32" s="32">
        <f>K32/1000000000000</f>
        <v>4.496718610731306</v>
      </c>
      <c r="M32" s="33" t="s">
        <v>26</v>
      </c>
    </row>
    <row r="33" spans="2:15" x14ac:dyDescent="0.3">
      <c r="K33" s="33"/>
      <c r="L33" s="33"/>
      <c r="M33" s="33"/>
    </row>
    <row r="34" spans="2:15" x14ac:dyDescent="0.3">
      <c r="B34" s="1" t="s">
        <v>50</v>
      </c>
      <c r="C34" s="1" t="s">
        <v>25</v>
      </c>
      <c r="E34" s="4">
        <f>E27*1000/(365*24*60*60)</f>
        <v>114448509196.55272</v>
      </c>
      <c r="F34" s="4">
        <f>F27*1000/(365*24*60*60)</f>
        <v>132916752255.62692</v>
      </c>
      <c r="G34" s="4">
        <f t="shared" ref="G34:H34" si="3">G27*1000/(365*24*60*60)</f>
        <v>48254024908.94722</v>
      </c>
      <c r="H34" s="4">
        <f t="shared" si="3"/>
        <v>32508116352.387417</v>
      </c>
      <c r="K34" s="61">
        <f>SUM(E34:H34)</f>
        <v>328127402713.51422</v>
      </c>
      <c r="L34" s="32">
        <f>K34/1000000000000</f>
        <v>0.3281274027135142</v>
      </c>
      <c r="M34" s="33" t="s">
        <v>26</v>
      </c>
    </row>
    <row r="35" spans="2:15" x14ac:dyDescent="0.3">
      <c r="B35" s="1" t="s">
        <v>34</v>
      </c>
      <c r="C35" s="1" t="s">
        <v>25</v>
      </c>
      <c r="E35" s="4">
        <f>PowerConductive!R31*1000000000000</f>
        <v>419538715056.43225</v>
      </c>
      <c r="F35" s="4">
        <f>PowerConductive!R57*1000000000000</f>
        <v>140720685088.16519</v>
      </c>
      <c r="G35" s="4">
        <f>PowerConductive!R83*1000000000000</f>
        <v>104360490860.19952</v>
      </c>
      <c r="H35" s="4">
        <f>PowerConductive!R109*1000000000000</f>
        <v>54474220322.469894</v>
      </c>
      <c r="I35" s="62"/>
      <c r="K35" s="61">
        <f>SUM(E35:H35)</f>
        <v>719094111327.26672</v>
      </c>
      <c r="L35" s="32">
        <f>K35/1000000000000</f>
        <v>0.71909411132726675</v>
      </c>
      <c r="M35" s="33" t="s">
        <v>26</v>
      </c>
      <c r="O35" s="11" t="s">
        <v>136</v>
      </c>
    </row>
    <row r="36" spans="2:15" x14ac:dyDescent="0.3">
      <c r="B36" s="1" t="s">
        <v>45</v>
      </c>
      <c r="C36" s="1" t="s">
        <v>25</v>
      </c>
      <c r="E36" s="4">
        <f>'Power Remaining'!H47*1000000000000</f>
        <v>221447248351.73935</v>
      </c>
      <c r="F36" s="4">
        <f>'Power Remaining'!V47*1000000000000</f>
        <v>120179494215.88852</v>
      </c>
      <c r="G36" s="4">
        <f>'Power Remaining'!AK47*1000000000000</f>
        <v>62748813201.289734</v>
      </c>
      <c r="H36" s="4">
        <f>'Power Remaining'!AY47*1000000000000</f>
        <v>72786009918.884735</v>
      </c>
      <c r="I36" s="62"/>
      <c r="K36" s="61">
        <f>SUM(E36:H36)</f>
        <v>477161565687.80237</v>
      </c>
      <c r="L36" s="32">
        <f>K36/1000000000000</f>
        <v>0.47716156568780238</v>
      </c>
      <c r="M36" s="33" t="s">
        <v>26</v>
      </c>
      <c r="O36" s="11" t="s">
        <v>135</v>
      </c>
    </row>
    <row r="37" spans="2:15" x14ac:dyDescent="0.3">
      <c r="I37" s="62"/>
      <c r="K37" s="61"/>
      <c r="L37" s="32"/>
      <c r="M37" s="33"/>
    </row>
    <row r="38" spans="2:15" x14ac:dyDescent="0.3">
      <c r="B38" s="1" t="s">
        <v>52</v>
      </c>
      <c r="C38" s="1" t="s">
        <v>25</v>
      </c>
      <c r="E38" s="4">
        <f>E32-E34-E35-E36</f>
        <v>1141140822652.4355</v>
      </c>
      <c r="F38" s="4">
        <f>F32-F34-F35-F36</f>
        <v>1029756512405.475</v>
      </c>
      <c r="G38" s="4">
        <f>G32-G34-G35-G36</f>
        <v>311044215490.80579</v>
      </c>
      <c r="H38" s="4">
        <f>H32-H34-H35-H36</f>
        <v>490393980454.0061</v>
      </c>
      <c r="I38" s="63">
        <f>SUM(E38:G38)</f>
        <v>2481941550548.7163</v>
      </c>
      <c r="K38" s="61">
        <f>SUM(E38:H38)</f>
        <v>2972335531002.7227</v>
      </c>
      <c r="L38" s="32">
        <f>K38/1000000000000</f>
        <v>2.9723355310027229</v>
      </c>
      <c r="M38" s="33" t="s">
        <v>26</v>
      </c>
    </row>
    <row r="39" spans="2:15" x14ac:dyDescent="0.3">
      <c r="I39" s="63"/>
      <c r="K39" s="33"/>
      <c r="L39" s="32"/>
      <c r="M39" s="33"/>
    </row>
    <row r="40" spans="2:15" x14ac:dyDescent="0.3">
      <c r="B40" s="65" t="s">
        <v>91</v>
      </c>
      <c r="C40" s="66" t="s">
        <v>9</v>
      </c>
      <c r="D40" s="66"/>
      <c r="E40" s="66">
        <f>E7*0.9</f>
        <v>5.22</v>
      </c>
      <c r="F40" s="66">
        <f>F7*0.9</f>
        <v>7.2</v>
      </c>
      <c r="G40" s="66">
        <f>G7*0.9</f>
        <v>5.4</v>
      </c>
      <c r="H40" s="67">
        <f>H7*0.8</f>
        <v>12</v>
      </c>
      <c r="I40" s="62"/>
      <c r="K40" s="33"/>
      <c r="L40" s="33"/>
      <c r="M40" s="33"/>
    </row>
    <row r="41" spans="2:15" x14ac:dyDescent="0.3">
      <c r="B41" s="68" t="s">
        <v>51</v>
      </c>
      <c r="C41" s="69" t="s">
        <v>25</v>
      </c>
      <c r="D41" s="69"/>
      <c r="E41" s="70">
        <f>E38*(E40-E8)/(E7-E8)</f>
        <v>1019698313085.7544</v>
      </c>
      <c r="F41" s="70">
        <f t="shared" ref="F41:H41" si="4">F38*(F40-F8)/(F7-F8)</f>
        <v>916128207588.31909</v>
      </c>
      <c r="G41" s="70">
        <f t="shared" si="4"/>
        <v>276800815620.25836</v>
      </c>
      <c r="H41" s="71">
        <f t="shared" si="4"/>
        <v>387153142463.68903</v>
      </c>
      <c r="I41" s="63">
        <f>SUM(E41:G41)</f>
        <v>2212627336294.332</v>
      </c>
      <c r="K41" s="61">
        <f>SUM(E41:H41)</f>
        <v>2599780478758.021</v>
      </c>
      <c r="L41" s="32">
        <f>K41/1000000000000</f>
        <v>2.5997804787580212</v>
      </c>
      <c r="M41" s="33" t="s">
        <v>26</v>
      </c>
    </row>
    <row r="42" spans="2:15" x14ac:dyDescent="0.3">
      <c r="I42" s="63"/>
      <c r="K42" s="61"/>
      <c r="L42" s="32"/>
      <c r="M42" s="33"/>
    </row>
    <row r="43" spans="2:15" x14ac:dyDescent="0.3">
      <c r="B43" s="1" t="s">
        <v>92</v>
      </c>
      <c r="C43" s="1" t="s">
        <v>9</v>
      </c>
      <c r="E43" s="1">
        <f>E7*0.8</f>
        <v>4.6399999999999997</v>
      </c>
      <c r="F43" s="1">
        <f t="shared" ref="F43:G43" si="5">F7*0.8</f>
        <v>6.4</v>
      </c>
      <c r="G43" s="1">
        <f t="shared" si="5"/>
        <v>4.8000000000000007</v>
      </c>
      <c r="H43" s="1">
        <f>H7*0.6</f>
        <v>9</v>
      </c>
      <c r="I43" s="62"/>
      <c r="K43" s="33"/>
      <c r="L43" s="33"/>
      <c r="M43" s="33"/>
    </row>
    <row r="44" spans="2:15" x14ac:dyDescent="0.3">
      <c r="B44" s="1" t="s">
        <v>53</v>
      </c>
      <c r="C44" s="1" t="s">
        <v>25</v>
      </c>
      <c r="E44" s="4">
        <f>E38*(E43-E8)/(E7-E8)</f>
        <v>898255803519.073</v>
      </c>
      <c r="F44" s="4">
        <f t="shared" ref="F44:H44" si="6">F38*(F43-F8)/(F7-F8)</f>
        <v>802499902771.16321</v>
      </c>
      <c r="G44" s="4">
        <f t="shared" si="6"/>
        <v>242557415749.71097</v>
      </c>
      <c r="H44" s="4">
        <f t="shared" si="6"/>
        <v>283912304473.37195</v>
      </c>
      <c r="I44" s="63">
        <f>SUM(E44:G44)</f>
        <v>1943313122039.9473</v>
      </c>
      <c r="K44" s="61">
        <f>SUM(E44:H44)</f>
        <v>2227225426513.3193</v>
      </c>
      <c r="L44" s="32">
        <f>K44/1000000000000</f>
        <v>2.2272254265133191</v>
      </c>
      <c r="M44" s="33" t="s">
        <v>26</v>
      </c>
    </row>
    <row r="45" spans="2:15" x14ac:dyDescent="0.3">
      <c r="I45" s="62"/>
    </row>
    <row r="46" spans="2:15" x14ac:dyDescent="0.3">
      <c r="C46" s="10"/>
      <c r="J46" s="4"/>
    </row>
    <row r="47" spans="2:15" x14ac:dyDescent="0.3">
      <c r="J47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C25D1-D601-4D38-8DD2-85D809E46F49}">
  <dimension ref="B2:AN78"/>
  <sheetViews>
    <sheetView topLeftCell="K21" workbookViewId="0">
      <selection activeCell="AJ39" sqref="AJ39"/>
    </sheetView>
  </sheetViews>
  <sheetFormatPr baseColWidth="10" defaultRowHeight="14.4" x14ac:dyDescent="0.3"/>
  <sheetData>
    <row r="2" spans="2:40" ht="15.6" x14ac:dyDescent="0.35">
      <c r="N2" s="17" t="s">
        <v>88</v>
      </c>
    </row>
    <row r="3" spans="2:40" ht="16.8" x14ac:dyDescent="0.35">
      <c r="N3" s="12" t="s">
        <v>80</v>
      </c>
      <c r="O3" s="12" t="s">
        <v>81</v>
      </c>
    </row>
    <row r="4" spans="2:40" ht="15" thickBot="1" x14ac:dyDescent="0.35"/>
    <row r="5" spans="2:40" ht="20.399999999999999" x14ac:dyDescent="0.45">
      <c r="B5" s="89" t="s">
        <v>78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1"/>
      <c r="V5" s="89" t="s">
        <v>79</v>
      </c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1"/>
    </row>
    <row r="6" spans="2:40" x14ac:dyDescent="0.3">
      <c r="B6" s="14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6"/>
      <c r="V6" s="14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6"/>
    </row>
    <row r="7" spans="2:40" x14ac:dyDescent="0.3">
      <c r="B7" s="14"/>
      <c r="C7" s="17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6"/>
      <c r="V7" s="14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6"/>
    </row>
    <row r="8" spans="2:40" x14ac:dyDescent="0.3">
      <c r="B8" s="14"/>
      <c r="C8" s="17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6"/>
      <c r="V8" s="14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6"/>
    </row>
    <row r="9" spans="2:40" x14ac:dyDescent="0.3"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6"/>
      <c r="V9" s="14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6"/>
    </row>
    <row r="10" spans="2:40" x14ac:dyDescent="0.3">
      <c r="B10" s="14"/>
      <c r="C10" s="15"/>
      <c r="E10" s="17" t="s">
        <v>82</v>
      </c>
      <c r="F10" s="17" t="s">
        <v>83</v>
      </c>
      <c r="G10" s="17" t="s">
        <v>84</v>
      </c>
      <c r="H10" s="17" t="s">
        <v>85</v>
      </c>
      <c r="I10" s="17" t="s">
        <v>86</v>
      </c>
      <c r="J10" s="15"/>
      <c r="K10" s="15"/>
      <c r="L10" s="15"/>
      <c r="M10" s="15"/>
      <c r="N10" s="15" t="s">
        <v>77</v>
      </c>
      <c r="O10" s="15"/>
      <c r="P10" s="15" t="s">
        <v>87</v>
      </c>
      <c r="Q10" s="15"/>
      <c r="R10" s="15"/>
      <c r="S10" s="15" t="s">
        <v>87</v>
      </c>
      <c r="T10" s="16"/>
      <c r="V10" s="14"/>
      <c r="W10" s="15"/>
      <c r="X10" s="15"/>
      <c r="Y10" s="17" t="s">
        <v>82</v>
      </c>
      <c r="Z10" s="17" t="s">
        <v>83</v>
      </c>
      <c r="AA10" s="17" t="s">
        <v>84</v>
      </c>
      <c r="AB10" s="17" t="s">
        <v>85</v>
      </c>
      <c r="AC10" s="17" t="s">
        <v>86</v>
      </c>
      <c r="AD10" s="15"/>
      <c r="AE10" s="15"/>
      <c r="AF10" s="15"/>
      <c r="AG10" s="15"/>
      <c r="AH10" s="15" t="s">
        <v>77</v>
      </c>
      <c r="AI10" s="15"/>
      <c r="AJ10" s="15"/>
      <c r="AK10" s="15"/>
      <c r="AL10" s="15"/>
      <c r="AM10" s="15"/>
      <c r="AN10" s="16"/>
    </row>
    <row r="11" spans="2:40" x14ac:dyDescent="0.3">
      <c r="B11" s="14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6"/>
      <c r="V11" s="14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6"/>
    </row>
    <row r="12" spans="2:40" x14ac:dyDescent="0.3">
      <c r="B12" s="14"/>
      <c r="C12" s="15"/>
      <c r="D12" s="17" t="s">
        <v>67</v>
      </c>
      <c r="E12" s="18">
        <v>87.36</v>
      </c>
      <c r="F12" s="18">
        <v>8.7169999999999997E-2</v>
      </c>
      <c r="G12" s="18">
        <v>-3699000</v>
      </c>
      <c r="H12" s="18">
        <v>843.6</v>
      </c>
      <c r="I12" s="18">
        <v>-2.2370000000000001E-5</v>
      </c>
      <c r="J12" s="18"/>
      <c r="K12" s="15">
        <v>140.68799999999999</v>
      </c>
      <c r="L12" s="15"/>
      <c r="M12" s="15"/>
      <c r="N12" s="17" t="s">
        <v>67</v>
      </c>
      <c r="O12" s="15"/>
      <c r="P12" s="15">
        <v>0.54</v>
      </c>
      <c r="Q12" s="15"/>
      <c r="R12" s="17" t="s">
        <v>71</v>
      </c>
      <c r="S12" s="15">
        <f>P12+P13</f>
        <v>0.64</v>
      </c>
      <c r="T12" s="16"/>
      <c r="V12" s="14"/>
      <c r="W12" s="15"/>
      <c r="X12" s="17" t="s">
        <v>67</v>
      </c>
      <c r="Y12" s="18">
        <v>87.36</v>
      </c>
      <c r="Z12" s="18">
        <v>8.7169999999999997E-2</v>
      </c>
      <c r="AA12" s="18">
        <v>-3699000</v>
      </c>
      <c r="AB12" s="18">
        <v>843.6</v>
      </c>
      <c r="AC12" s="18">
        <v>-2.2370000000000001E-5</v>
      </c>
      <c r="AD12" s="18"/>
      <c r="AE12" s="15">
        <v>140.68799999999999</v>
      </c>
      <c r="AF12" s="15"/>
      <c r="AG12" s="15"/>
      <c r="AH12" s="17" t="s">
        <v>67</v>
      </c>
      <c r="AI12" s="15"/>
      <c r="AJ12" s="15">
        <v>0.06</v>
      </c>
      <c r="AK12" s="15"/>
      <c r="AL12" s="17" t="s">
        <v>71</v>
      </c>
      <c r="AM12" s="15">
        <f>AJ12+AJ13</f>
        <v>0.08</v>
      </c>
      <c r="AN12" s="16"/>
    </row>
    <row r="13" spans="2:40" x14ac:dyDescent="0.3">
      <c r="B13" s="14"/>
      <c r="C13" s="15"/>
      <c r="D13" s="17" t="s">
        <v>66</v>
      </c>
      <c r="E13" s="18">
        <v>176.02</v>
      </c>
      <c r="F13" s="18">
        <v>-8.8079999999999999E-3</v>
      </c>
      <c r="G13" s="18">
        <v>-3889000</v>
      </c>
      <c r="H13" s="18">
        <v>0</v>
      </c>
      <c r="I13" s="18">
        <v>2.4709999999999999E-5</v>
      </c>
      <c r="J13" s="15"/>
      <c r="K13" s="15">
        <v>203.768</v>
      </c>
      <c r="L13" s="15"/>
      <c r="M13" s="15"/>
      <c r="N13" s="17" t="s">
        <v>66</v>
      </c>
      <c r="O13" s="15"/>
      <c r="P13" s="15">
        <v>0.1</v>
      </c>
      <c r="Q13" s="15"/>
      <c r="R13" s="17"/>
      <c r="S13" s="15"/>
      <c r="T13" s="16"/>
      <c r="V13" s="14"/>
      <c r="W13" s="15"/>
      <c r="X13" s="17" t="s">
        <v>66</v>
      </c>
      <c r="Y13" s="18">
        <v>176.02</v>
      </c>
      <c r="Z13" s="18">
        <v>-8.8079999999999999E-3</v>
      </c>
      <c r="AA13" s="18">
        <v>-3889000</v>
      </c>
      <c r="AB13" s="18">
        <v>0</v>
      </c>
      <c r="AC13" s="18">
        <v>2.4709999999999999E-5</v>
      </c>
      <c r="AD13" s="15"/>
      <c r="AE13" s="15">
        <v>203.768</v>
      </c>
      <c r="AF13" s="15"/>
      <c r="AG13" s="15"/>
      <c r="AH13" s="17" t="s">
        <v>66</v>
      </c>
      <c r="AI13" s="15"/>
      <c r="AJ13" s="15">
        <v>0.02</v>
      </c>
      <c r="AK13" s="15"/>
      <c r="AL13" s="17"/>
      <c r="AM13" s="15"/>
      <c r="AN13" s="16"/>
    </row>
    <row r="14" spans="2:40" x14ac:dyDescent="0.3">
      <c r="B14" s="14"/>
      <c r="C14" s="15"/>
      <c r="D14" s="17" t="s">
        <v>65</v>
      </c>
      <c r="E14" s="18">
        <v>350.7</v>
      </c>
      <c r="F14" s="18">
        <v>-0.1472</v>
      </c>
      <c r="G14" s="18">
        <v>1769000</v>
      </c>
      <c r="H14" s="18">
        <v>-4296</v>
      </c>
      <c r="I14" s="18">
        <v>5.8260000000000001E-5</v>
      </c>
      <c r="J14" s="18"/>
      <c r="K14" s="15">
        <v>200.77</v>
      </c>
      <c r="L14" s="15"/>
      <c r="M14" s="15"/>
      <c r="N14" s="17" t="s">
        <v>65</v>
      </c>
      <c r="O14" s="15"/>
      <c r="P14" s="15">
        <v>0.2</v>
      </c>
      <c r="Q14" s="15"/>
      <c r="R14" s="17" t="s">
        <v>70</v>
      </c>
      <c r="S14" s="15">
        <f>P14+P15</f>
        <v>0.25</v>
      </c>
      <c r="T14" s="16"/>
      <c r="V14" s="14"/>
      <c r="W14" s="15"/>
      <c r="X14" s="17" t="s">
        <v>75</v>
      </c>
      <c r="Y14" s="18">
        <v>583.9</v>
      </c>
      <c r="Z14" s="18">
        <v>-9.2850000000000002E-2</v>
      </c>
      <c r="AA14" s="18">
        <v>1678000</v>
      </c>
      <c r="AB14" s="18">
        <v>-6424</v>
      </c>
      <c r="AC14" s="18">
        <v>2.2719999999999999E-5</v>
      </c>
      <c r="AD14" s="18"/>
      <c r="AE14" s="15">
        <v>262.214</v>
      </c>
      <c r="AF14" s="15"/>
      <c r="AG14" s="15"/>
      <c r="AH14" s="17" t="s">
        <v>75</v>
      </c>
      <c r="AI14" s="15"/>
      <c r="AJ14" s="15">
        <v>0.32</v>
      </c>
      <c r="AK14" s="15"/>
      <c r="AL14" s="17" t="s">
        <v>76</v>
      </c>
      <c r="AM14" s="15">
        <f>AJ14+AJ15</f>
        <v>0.62</v>
      </c>
      <c r="AN14" s="16"/>
    </row>
    <row r="15" spans="2:40" x14ac:dyDescent="0.3">
      <c r="B15" s="14"/>
      <c r="C15" s="15"/>
      <c r="D15" s="17" t="s">
        <v>64</v>
      </c>
      <c r="E15" s="18">
        <v>124.3</v>
      </c>
      <c r="F15" s="18">
        <v>1.4540000000000001E-2</v>
      </c>
      <c r="G15" s="18">
        <v>-3378</v>
      </c>
      <c r="H15" s="18">
        <v>0</v>
      </c>
      <c r="I15" s="18">
        <v>0</v>
      </c>
      <c r="J15" s="18"/>
      <c r="K15" s="19">
        <v>189.99799999999999</v>
      </c>
      <c r="L15" s="15"/>
      <c r="M15" s="15"/>
      <c r="N15" s="17" t="s">
        <v>64</v>
      </c>
      <c r="O15" s="15"/>
      <c r="P15" s="15">
        <v>0.05</v>
      </c>
      <c r="Q15" s="15"/>
      <c r="R15" s="17"/>
      <c r="S15" s="15"/>
      <c r="T15" s="16"/>
      <c r="V15" s="14"/>
      <c r="W15" s="15"/>
      <c r="X15" s="17" t="s">
        <v>74</v>
      </c>
      <c r="Y15" s="18">
        <v>516.79999999999995</v>
      </c>
      <c r="Z15" s="18">
        <v>-9.2490000000000003E-2</v>
      </c>
      <c r="AA15" s="18">
        <v>-1408000</v>
      </c>
      <c r="AB15" s="18">
        <v>-4589</v>
      </c>
      <c r="AC15" s="18">
        <v>4.1879999999999999E-5</v>
      </c>
      <c r="AD15" s="18"/>
      <c r="AE15" s="19">
        <v>380.15600000000001</v>
      </c>
      <c r="AF15" s="15"/>
      <c r="AG15" s="15"/>
      <c r="AH15" s="17" t="s">
        <v>74</v>
      </c>
      <c r="AI15" s="15"/>
      <c r="AJ15" s="15">
        <v>0.3</v>
      </c>
      <c r="AK15" s="15"/>
      <c r="AL15" s="17"/>
      <c r="AM15" s="15"/>
      <c r="AN15" s="16"/>
    </row>
    <row r="16" spans="2:40" x14ac:dyDescent="0.3">
      <c r="B16" s="14"/>
      <c r="C16" s="15"/>
      <c r="D16" s="17" t="s">
        <v>63</v>
      </c>
      <c r="E16" s="18">
        <v>470.25</v>
      </c>
      <c r="F16" s="18">
        <v>-9.8640000000000005E-2</v>
      </c>
      <c r="G16" s="18">
        <v>245400</v>
      </c>
      <c r="H16" s="18">
        <v>-4823</v>
      </c>
      <c r="I16" s="18">
        <v>2.813E-5</v>
      </c>
      <c r="J16" s="18"/>
      <c r="K16" s="15">
        <v>216.54300000000001</v>
      </c>
      <c r="L16" s="15"/>
      <c r="M16" s="15"/>
      <c r="N16" s="17" t="s">
        <v>63</v>
      </c>
      <c r="O16" s="15"/>
      <c r="P16" s="15">
        <v>0.06</v>
      </c>
      <c r="Q16" s="15"/>
      <c r="R16" s="17" t="s">
        <v>69</v>
      </c>
      <c r="S16" s="15">
        <f>P16</f>
        <v>0.06</v>
      </c>
      <c r="T16" s="16"/>
      <c r="V16" s="14"/>
      <c r="W16" s="15"/>
      <c r="X16" s="17" t="s">
        <v>63</v>
      </c>
      <c r="Y16" s="18">
        <v>470.25</v>
      </c>
      <c r="Z16" s="18">
        <v>-9.8640000000000005E-2</v>
      </c>
      <c r="AA16" s="18">
        <v>245400</v>
      </c>
      <c r="AB16" s="18">
        <v>-4823</v>
      </c>
      <c r="AC16" s="18">
        <v>2.813E-5</v>
      </c>
      <c r="AD16" s="18"/>
      <c r="AE16" s="15">
        <v>216.54300000000001</v>
      </c>
      <c r="AF16" s="15"/>
      <c r="AG16" s="15"/>
      <c r="AH16" s="17" t="s">
        <v>63</v>
      </c>
      <c r="AI16" s="15"/>
      <c r="AJ16" s="15">
        <v>0.3</v>
      </c>
      <c r="AK16" s="15"/>
      <c r="AL16" s="17" t="s">
        <v>69</v>
      </c>
      <c r="AM16" s="15">
        <f>AJ16</f>
        <v>0.3</v>
      </c>
      <c r="AN16" s="16"/>
    </row>
    <row r="17" spans="2:40" x14ac:dyDescent="0.3">
      <c r="B17" s="14"/>
      <c r="C17" s="15"/>
      <c r="D17" s="17" t="s">
        <v>62</v>
      </c>
      <c r="E17" s="18">
        <v>222.9</v>
      </c>
      <c r="F17" s="18">
        <v>6.1269999999999996E-3</v>
      </c>
      <c r="G17" s="18">
        <v>-1686000</v>
      </c>
      <c r="H17" s="18">
        <v>-1551</v>
      </c>
      <c r="I17" s="18">
        <v>0</v>
      </c>
      <c r="J17" s="15"/>
      <c r="K17" s="15">
        <v>142.261</v>
      </c>
      <c r="L17" s="15"/>
      <c r="M17" s="15"/>
      <c r="N17" s="17" t="s">
        <v>62</v>
      </c>
      <c r="O17" s="15"/>
      <c r="P17" s="15">
        <v>0.05</v>
      </c>
      <c r="Q17" s="15"/>
      <c r="R17" s="17" t="s">
        <v>68</v>
      </c>
      <c r="S17" s="15">
        <f>P17</f>
        <v>0.05</v>
      </c>
      <c r="T17" s="16"/>
      <c r="V17" s="14"/>
      <c r="W17" s="15"/>
      <c r="X17" s="15"/>
      <c r="Y17" s="18"/>
      <c r="Z17" s="18"/>
      <c r="AA17" s="18"/>
      <c r="AB17" s="18"/>
      <c r="AC17" s="18"/>
      <c r="AD17" s="15"/>
      <c r="AE17" s="15"/>
      <c r="AF17" s="15"/>
      <c r="AG17" s="15"/>
      <c r="AH17" s="15"/>
      <c r="AI17" s="15"/>
      <c r="AJ17" s="15"/>
      <c r="AK17" s="15"/>
      <c r="AL17" s="17"/>
      <c r="AM17" s="15"/>
      <c r="AN17" s="16"/>
    </row>
    <row r="18" spans="2:40" x14ac:dyDescent="0.3"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6"/>
      <c r="V18" s="14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6"/>
    </row>
    <row r="19" spans="2:40" x14ac:dyDescent="0.3"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 t="s">
        <v>27</v>
      </c>
      <c r="O19" s="15"/>
      <c r="P19" s="15">
        <f>SUM(P12:P17)</f>
        <v>1.0000000000000002</v>
      </c>
      <c r="Q19" s="15"/>
      <c r="R19" s="15"/>
      <c r="S19" s="15"/>
      <c r="T19" s="16"/>
      <c r="V19" s="14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 t="s">
        <v>27</v>
      </c>
      <c r="AI19" s="15"/>
      <c r="AJ19" s="15">
        <f>SUM(AJ12:AJ17)</f>
        <v>1</v>
      </c>
      <c r="AK19" s="15"/>
      <c r="AL19" s="15"/>
      <c r="AM19" s="15"/>
      <c r="AN19" s="16"/>
    </row>
    <row r="20" spans="2:40" x14ac:dyDescent="0.3">
      <c r="B20" s="14"/>
      <c r="C20" s="15"/>
      <c r="D20" s="15"/>
      <c r="E20" s="15" t="s">
        <v>67</v>
      </c>
      <c r="F20" s="15" t="s">
        <v>66</v>
      </c>
      <c r="G20" s="15" t="s">
        <v>65</v>
      </c>
      <c r="H20" s="15" t="s">
        <v>64</v>
      </c>
      <c r="I20" s="15" t="s">
        <v>63</v>
      </c>
      <c r="J20" s="15" t="s">
        <v>62</v>
      </c>
      <c r="K20" s="15"/>
      <c r="L20" s="15" t="s">
        <v>61</v>
      </c>
      <c r="M20" s="15"/>
      <c r="N20" s="15"/>
      <c r="O20" s="15"/>
      <c r="P20" s="15"/>
      <c r="Q20" s="15"/>
      <c r="R20" s="15"/>
      <c r="S20" s="15"/>
      <c r="T20" s="16"/>
      <c r="V20" s="14"/>
      <c r="W20" s="15"/>
      <c r="X20" s="15"/>
      <c r="Y20" s="15" t="s">
        <v>67</v>
      </c>
      <c r="Z20" s="15" t="s">
        <v>66</v>
      </c>
      <c r="AA20" s="15" t="s">
        <v>75</v>
      </c>
      <c r="AB20" s="15" t="s">
        <v>74</v>
      </c>
      <c r="AC20" s="15" t="s">
        <v>63</v>
      </c>
      <c r="AD20" s="15"/>
      <c r="AE20" s="15"/>
      <c r="AF20" s="15" t="s">
        <v>73</v>
      </c>
      <c r="AG20" s="15"/>
      <c r="AH20" s="15"/>
      <c r="AI20" s="15"/>
      <c r="AJ20" s="15"/>
      <c r="AK20" s="15"/>
      <c r="AL20" s="15"/>
      <c r="AM20" s="15"/>
      <c r="AN20" s="16"/>
    </row>
    <row r="21" spans="2:40" x14ac:dyDescent="0.3">
      <c r="B21" s="14"/>
      <c r="C21" s="15" t="s">
        <v>60</v>
      </c>
      <c r="D21" s="15" t="s">
        <v>59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6"/>
      <c r="V21" s="14"/>
      <c r="W21" s="15" t="s">
        <v>60</v>
      </c>
      <c r="X21" s="15" t="s">
        <v>59</v>
      </c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6"/>
    </row>
    <row r="22" spans="2:40" x14ac:dyDescent="0.3">
      <c r="B22" s="14"/>
      <c r="C22" s="15">
        <f t="shared" ref="C22:C48" si="0">D22-273.15</f>
        <v>0</v>
      </c>
      <c r="D22" s="15">
        <v>273.14999999999998</v>
      </c>
      <c r="E22" s="20">
        <f>($E$12+$F$12*$D22+$G$12*$D22^(-2)+$H$12*$D22^(-1/2)+$I$12*$D22^2)*(1000/$K$12)</f>
        <v>788.74688213245622</v>
      </c>
      <c r="F22" s="20">
        <f t="shared" ref="F22:F48" si="1">($E$13+$F$13*$D22+$G$13*$D22^(-2)+$H$13*$D22^(-1/2)+$I$13*$D22^2)*(1000/$K$13)</f>
        <v>605.26674972654757</v>
      </c>
      <c r="G22" s="20">
        <f t="shared" ref="G22:G48" si="2">($E$14+$F$14*$D22+$G$14*$D22^(-2)+$H$14*$D22^(-1/2)+$I$14*$D22^2)*(1000/$K$14)</f>
        <v>391.56482709663186</v>
      </c>
      <c r="H22" s="20">
        <f t="shared" ref="H22:H48" si="3">($E$15+$F$15*$D22+$G$15*$D22^(-2)+$H$15*$D22^(-1/2)+$I$15*$D22^2)*(1000/$K$15)</f>
        <v>674.88250469765035</v>
      </c>
      <c r="I22" s="20">
        <f t="shared" ref="I22:I48" si="4">($E$16+$F$16*$D22+$G$16*$D22^(-2)+$H$16*$D22^(-1/2)+$I$16*$D22^2)*(1000/$K$16)</f>
        <v>724.44397893701705</v>
      </c>
      <c r="J22" s="20">
        <f t="shared" ref="J22:J48" si="5">($E$17+$F$17*$D22+$G$17*$D22^(-2)+$H$17*$D22^(-1/2)+$I$17*$D22^2)*(1000/$K$17)</f>
        <v>760.09131210641988</v>
      </c>
      <c r="K22" s="15"/>
      <c r="L22" s="15">
        <f t="shared" ref="L22:L48" si="6">E22*P$12+F22*P$13+G22*P$14+H22*P$15+I22*P$16+J22*P$17</f>
        <v>679.97828631993207</v>
      </c>
      <c r="M22" s="15"/>
      <c r="N22" s="15"/>
      <c r="O22" s="15"/>
      <c r="P22" s="15"/>
      <c r="Q22" s="15"/>
      <c r="R22" s="15"/>
      <c r="S22" s="15"/>
      <c r="T22" s="16"/>
      <c r="V22" s="14"/>
      <c r="W22" s="15">
        <f t="shared" ref="W22:W48" si="7">X22-273.15</f>
        <v>0</v>
      </c>
      <c r="X22" s="15">
        <v>273.14999999999998</v>
      </c>
      <c r="Y22" s="20">
        <f>($Y$12+$Z$12*$X22+$AA$12*$X22^(-2)+$AB$12*$X22^(-1/2)+$AC$12*$X22^2)*(1000/$AE$12)</f>
        <v>788.74688213245622</v>
      </c>
      <c r="Z22" s="20">
        <f t="shared" ref="Z22:Z48" si="8">($Y$13+$Z$13*$X22+$AA$13*$X22^(-2)+$AB$13*$X22^(-1/2)+$AC$13*$X22^2)*(1000/$AE$13)</f>
        <v>605.26674972654757</v>
      </c>
      <c r="AA22" s="20">
        <f t="shared" ref="AA22:AA48" si="9">($Y$14+$Z$14*$X22+$AA$14*$X22^(-2)+$AB$14*$X22^(-1/2)+$AC$14*$X22^2)*(1000/$AE$14)</f>
        <v>739.97494066222146</v>
      </c>
      <c r="AB22" s="20">
        <f t="shared" ref="AB22:AB48" si="10">($Y$15+$Z$15*$X22+$AA$15*$X22^(-2)+$AB$15*$X22^(-1/2)+$AC$15*$X22^2)*(1000/$AE$15)</f>
        <v>521.1733763032114</v>
      </c>
      <c r="AC22" s="20">
        <f t="shared" ref="AC22:AC48" si="11">($Y$16+$Z$16*$X22+$AA$16*$X22^(-2)+$AB$16*$X22^(-1/2)+$AC$16*$X22^2)*(1000/$AE$16)</f>
        <v>724.44397893701705</v>
      </c>
      <c r="AD22" s="20"/>
      <c r="AE22" s="15"/>
      <c r="AF22" s="15">
        <f>Y22*AJ$12+Z22*AJ$13+AA22*AJ$14+AB22*AJ$15+AC22*AJ$16</f>
        <v>669.90733550645768</v>
      </c>
      <c r="AG22" s="15"/>
      <c r="AH22" s="15"/>
      <c r="AI22" s="15"/>
      <c r="AJ22" s="15"/>
      <c r="AK22" s="15"/>
      <c r="AL22" s="15"/>
      <c r="AM22" s="15"/>
      <c r="AN22" s="16"/>
    </row>
    <row r="23" spans="2:40" x14ac:dyDescent="0.3">
      <c r="B23" s="14"/>
      <c r="C23" s="15">
        <f t="shared" si="0"/>
        <v>50</v>
      </c>
      <c r="D23" s="15">
        <f t="shared" ref="D23:D48" si="12">D22+50</f>
        <v>323.14999999999998</v>
      </c>
      <c r="E23" s="20">
        <f t="shared" ref="E23:E48" si="13">(E$12+F$12*$D23+G$12*$D23^(-2)+H$12*$D23^(-1/2)+I$12*$D23^2)*(1000/K$12)</f>
        <v>886.3513781961932</v>
      </c>
      <c r="F23" s="20">
        <f t="shared" si="1"/>
        <v>679.75515586457323</v>
      </c>
      <c r="G23" s="20">
        <f t="shared" si="2"/>
        <v>434.20860977884649</v>
      </c>
      <c r="H23" s="20">
        <f t="shared" si="3"/>
        <v>678.77689612645963</v>
      </c>
      <c r="I23" s="20">
        <f t="shared" si="4"/>
        <v>809.84085638369413</v>
      </c>
      <c r="J23" s="20">
        <f t="shared" si="5"/>
        <v>860.77425898508409</v>
      </c>
      <c r="K23" s="15"/>
      <c r="L23" s="15">
        <f t="shared" si="6"/>
        <v>759.01499090676987</v>
      </c>
      <c r="M23" s="15"/>
      <c r="N23" s="15"/>
      <c r="Q23" s="15"/>
      <c r="R23" s="15"/>
      <c r="S23" s="15"/>
      <c r="T23" s="16"/>
      <c r="V23" s="14"/>
      <c r="W23" s="15">
        <f t="shared" si="7"/>
        <v>50</v>
      </c>
      <c r="X23" s="15">
        <f t="shared" ref="X23:X48" si="14">X22+50</f>
        <v>323.14999999999998</v>
      </c>
      <c r="Y23" s="20">
        <f t="shared" ref="Y23:Y48" si="15">(Y$12+Z$12*$X23+AA$12*$X23^(-2)+AB$12*$X23^(-1/2)+AC$12*$X23^2)*(1000/AE$12)</f>
        <v>886.3513781961932</v>
      </c>
      <c r="Z23" s="20">
        <f t="shared" si="8"/>
        <v>679.75515586457323</v>
      </c>
      <c r="AA23" s="20">
        <f t="shared" si="9"/>
        <v>819.86062225629814</v>
      </c>
      <c r="AB23" s="20">
        <f t="shared" si="10"/>
        <v>585.3450957793408</v>
      </c>
      <c r="AC23" s="20">
        <f t="shared" si="11"/>
        <v>809.84085638369413</v>
      </c>
      <c r="AD23" s="20"/>
      <c r="AE23" s="15"/>
      <c r="AF23" s="15">
        <f t="shared" ref="AF23:AF48" si="16">Y23*AJ$12+Z23*AJ$13+AA23*AJ$14+AB23*AJ$15+AC23*AJ$16</f>
        <v>747.68737057998896</v>
      </c>
      <c r="AG23" s="15"/>
      <c r="AH23" s="15"/>
      <c r="AK23" s="15"/>
      <c r="AL23" s="15"/>
      <c r="AM23" s="15"/>
      <c r="AN23" s="16"/>
    </row>
    <row r="24" spans="2:40" x14ac:dyDescent="0.3">
      <c r="B24" s="14"/>
      <c r="C24" s="15">
        <f t="shared" si="0"/>
        <v>100</v>
      </c>
      <c r="D24" s="15">
        <f t="shared" si="12"/>
        <v>373.15</v>
      </c>
      <c r="E24" s="20">
        <f t="shared" si="13"/>
        <v>951.59766361346226</v>
      </c>
      <c r="F24" s="20">
        <f t="shared" si="1"/>
        <v>727.51330221068895</v>
      </c>
      <c r="G24" s="20">
        <f t="shared" si="2"/>
        <v>469.17048864821413</v>
      </c>
      <c r="H24" s="20">
        <f t="shared" si="3"/>
        <v>682.64582201229473</v>
      </c>
      <c r="I24" s="20">
        <f t="shared" si="4"/>
        <v>874.86766086047021</v>
      </c>
      <c r="J24" s="20">
        <f t="shared" si="5"/>
        <v>933.39838551035166</v>
      </c>
      <c r="K24" s="15"/>
      <c r="L24" s="15">
        <f t="shared" si="6"/>
        <v>813.74243632974185</v>
      </c>
      <c r="M24" s="15"/>
      <c r="N24" s="15"/>
      <c r="Q24" s="15"/>
      <c r="R24" s="15"/>
      <c r="S24" s="15"/>
      <c r="T24" s="16"/>
      <c r="V24" s="14"/>
      <c r="W24" s="15">
        <f t="shared" si="7"/>
        <v>100</v>
      </c>
      <c r="X24" s="15">
        <f t="shared" si="14"/>
        <v>373.15</v>
      </c>
      <c r="Y24" s="20">
        <f t="shared" si="15"/>
        <v>951.59766361346226</v>
      </c>
      <c r="Z24" s="20">
        <f t="shared" si="8"/>
        <v>727.51330221068895</v>
      </c>
      <c r="AA24" s="20">
        <f t="shared" si="9"/>
        <v>884.43935274314208</v>
      </c>
      <c r="AB24" s="20">
        <f t="shared" si="10"/>
        <v>632.49072917041087</v>
      </c>
      <c r="AC24" s="20">
        <f t="shared" si="11"/>
        <v>874.86766086047021</v>
      </c>
      <c r="AD24" s="20"/>
      <c r="AE24" s="15"/>
      <c r="AF24" s="15">
        <f t="shared" si="16"/>
        <v>806.87423574809134</v>
      </c>
      <c r="AG24" s="15"/>
      <c r="AH24" s="15"/>
      <c r="AK24" s="15"/>
      <c r="AL24" s="15"/>
      <c r="AM24" s="15"/>
      <c r="AN24" s="16"/>
    </row>
    <row r="25" spans="2:40" x14ac:dyDescent="0.3">
      <c r="B25" s="14"/>
      <c r="C25" s="15">
        <f t="shared" si="0"/>
        <v>150</v>
      </c>
      <c r="D25" s="15">
        <f t="shared" si="12"/>
        <v>423.15</v>
      </c>
      <c r="E25" s="20">
        <f t="shared" si="13"/>
        <v>999.31848509537349</v>
      </c>
      <c r="F25" s="20">
        <f t="shared" si="1"/>
        <v>760.6586666036925</v>
      </c>
      <c r="G25" s="20">
        <f t="shared" si="2"/>
        <v>497.49499734260132</v>
      </c>
      <c r="H25" s="20">
        <f t="shared" si="3"/>
        <v>686.50057045623498</v>
      </c>
      <c r="I25" s="20">
        <f t="shared" si="4"/>
        <v>925.71512977617124</v>
      </c>
      <c r="J25" s="20">
        <f t="shared" si="5"/>
        <v>988.87083713800064</v>
      </c>
      <c r="K25" s="15"/>
      <c r="L25" s="15">
        <f t="shared" si="6"/>
        <v>854.50832624667339</v>
      </c>
      <c r="M25" s="15"/>
      <c r="N25" s="15"/>
      <c r="Q25" s="15"/>
      <c r="R25" s="15"/>
      <c r="S25" s="15"/>
      <c r="T25" s="16"/>
      <c r="V25" s="14"/>
      <c r="W25" s="15">
        <f t="shared" si="7"/>
        <v>150</v>
      </c>
      <c r="X25" s="15">
        <f t="shared" si="14"/>
        <v>423.15</v>
      </c>
      <c r="Y25" s="20">
        <f t="shared" si="15"/>
        <v>999.31848509537349</v>
      </c>
      <c r="Z25" s="20">
        <f t="shared" si="8"/>
        <v>760.6586666036925</v>
      </c>
      <c r="AA25" s="20">
        <f t="shared" si="9"/>
        <v>937.24913315373465</v>
      </c>
      <c r="AB25" s="20">
        <f t="shared" si="10"/>
        <v>668.70702740859417</v>
      </c>
      <c r="AC25" s="20">
        <f t="shared" si="11"/>
        <v>925.71512977617124</v>
      </c>
      <c r="AD25" s="20"/>
      <c r="AE25" s="15"/>
      <c r="AF25" s="15">
        <f t="shared" si="16"/>
        <v>853.41865220242096</v>
      </c>
      <c r="AG25" s="15"/>
      <c r="AH25" s="15"/>
      <c r="AK25" s="15"/>
      <c r="AL25" s="15"/>
      <c r="AM25" s="15"/>
      <c r="AN25" s="16"/>
    </row>
    <row r="26" spans="2:40" x14ac:dyDescent="0.3">
      <c r="B26" s="14"/>
      <c r="C26" s="15">
        <f t="shared" si="0"/>
        <v>200</v>
      </c>
      <c r="D26" s="15">
        <f t="shared" si="12"/>
        <v>473.15</v>
      </c>
      <c r="E26" s="20">
        <f t="shared" si="13"/>
        <v>1036.7351821809104</v>
      </c>
      <c r="F26" s="20">
        <f t="shared" si="1"/>
        <v>785.26916862070277</v>
      </c>
      <c r="G26" s="20">
        <f t="shared" si="2"/>
        <v>520.48581817392005</v>
      </c>
      <c r="H26" s="20">
        <f t="shared" si="3"/>
        <v>690.34680337666362</v>
      </c>
      <c r="I26" s="20">
        <f t="shared" si="4"/>
        <v>966.30008296064295</v>
      </c>
      <c r="J26" s="20">
        <f t="shared" si="5"/>
        <v>1033.0597551329886</v>
      </c>
      <c r="K26" s="15"/>
      <c r="L26" s="15">
        <f t="shared" si="6"/>
        <v>886.60941177766699</v>
      </c>
      <c r="M26" s="15"/>
      <c r="N26" s="15"/>
      <c r="Q26" s="15"/>
      <c r="R26" s="15"/>
      <c r="S26" s="15"/>
      <c r="T26" s="16"/>
      <c r="V26" s="14"/>
      <c r="W26" s="15">
        <f t="shared" si="7"/>
        <v>200</v>
      </c>
      <c r="X26" s="15">
        <f t="shared" si="14"/>
        <v>473.15</v>
      </c>
      <c r="Y26" s="20">
        <f t="shared" si="15"/>
        <v>1036.7351821809104</v>
      </c>
      <c r="Z26" s="20">
        <f t="shared" si="8"/>
        <v>785.26916862070277</v>
      </c>
      <c r="AA26" s="20">
        <f t="shared" si="9"/>
        <v>980.95734813751471</v>
      </c>
      <c r="AB26" s="20">
        <f t="shared" si="10"/>
        <v>697.49191536423791</v>
      </c>
      <c r="AC26" s="20">
        <f t="shared" si="11"/>
        <v>966.30008296064295</v>
      </c>
      <c r="AD26" s="20"/>
      <c r="AE26" s="15"/>
      <c r="AF26" s="15">
        <f t="shared" si="16"/>
        <v>890.9534452047377</v>
      </c>
      <c r="AG26" s="15"/>
      <c r="AH26" s="15"/>
      <c r="AK26" s="15"/>
      <c r="AL26" s="15"/>
      <c r="AM26" s="15"/>
      <c r="AN26" s="16"/>
    </row>
    <row r="27" spans="2:40" x14ac:dyDescent="0.3">
      <c r="B27" s="14"/>
      <c r="C27" s="15">
        <f t="shared" si="0"/>
        <v>250</v>
      </c>
      <c r="D27" s="15">
        <f t="shared" si="12"/>
        <v>523.15</v>
      </c>
      <c r="E27" s="20">
        <f t="shared" si="13"/>
        <v>1067.6667714399878</v>
      </c>
      <c r="F27" s="20">
        <f t="shared" si="1"/>
        <v>804.66587068900606</v>
      </c>
      <c r="G27" s="20">
        <f t="shared" si="2"/>
        <v>539.30788397927029</v>
      </c>
      <c r="H27" s="20">
        <f t="shared" si="3"/>
        <v>694.18761452698948</v>
      </c>
      <c r="I27" s="20">
        <f t="shared" si="4"/>
        <v>999.23381821375494</v>
      </c>
      <c r="J27" s="20">
        <f t="shared" si="5"/>
        <v>1069.4021752904653</v>
      </c>
      <c r="K27" s="15"/>
      <c r="L27" s="15">
        <f t="shared" si="6"/>
        <v>913.00173902604604</v>
      </c>
      <c r="M27" s="15"/>
      <c r="N27" s="15"/>
      <c r="P27" s="17" t="s">
        <v>58</v>
      </c>
      <c r="Q27" s="17"/>
      <c r="R27" s="15"/>
      <c r="S27" s="15"/>
      <c r="T27" s="16"/>
      <c r="V27" s="14"/>
      <c r="W27" s="15">
        <f t="shared" si="7"/>
        <v>250</v>
      </c>
      <c r="X27" s="15">
        <f t="shared" si="14"/>
        <v>523.15</v>
      </c>
      <c r="Y27" s="20">
        <f t="shared" si="15"/>
        <v>1067.6667714399878</v>
      </c>
      <c r="Z27" s="20">
        <f t="shared" si="8"/>
        <v>804.66587068900606</v>
      </c>
      <c r="AA27" s="20">
        <f t="shared" si="9"/>
        <v>1017.5396760598167</v>
      </c>
      <c r="AB27" s="20">
        <f t="shared" si="10"/>
        <v>721.01203130335762</v>
      </c>
      <c r="AC27" s="20">
        <f t="shared" si="11"/>
        <v>999.23381821375494</v>
      </c>
      <c r="AD27" s="20"/>
      <c r="AE27" s="15"/>
      <c r="AF27" s="15">
        <f t="shared" si="16"/>
        <v>921.83977489445442</v>
      </c>
      <c r="AG27" s="15"/>
      <c r="AH27" s="15"/>
      <c r="AJ27" s="17" t="s">
        <v>72</v>
      </c>
      <c r="AK27" s="17"/>
      <c r="AL27" s="15"/>
      <c r="AM27" s="15"/>
      <c r="AN27" s="16"/>
    </row>
    <row r="28" spans="2:40" x14ac:dyDescent="0.3">
      <c r="B28" s="14"/>
      <c r="C28" s="15">
        <f t="shared" si="0"/>
        <v>300</v>
      </c>
      <c r="D28" s="15">
        <f t="shared" si="12"/>
        <v>573.15</v>
      </c>
      <c r="E28" s="20">
        <f t="shared" si="13"/>
        <v>1094.2650488020338</v>
      </c>
      <c r="F28" s="20">
        <f t="shared" si="1"/>
        <v>820.78798075285977</v>
      </c>
      <c r="G28" s="20">
        <f t="shared" si="2"/>
        <v>554.92037477219435</v>
      </c>
      <c r="H28" s="20">
        <f t="shared" si="3"/>
        <v>698.02481038671101</v>
      </c>
      <c r="I28" s="20">
        <f t="shared" si="4"/>
        <v>1026.3314739310749</v>
      </c>
      <c r="J28" s="20">
        <f t="shared" si="5"/>
        <v>1100.0471601793595</v>
      </c>
      <c r="K28" s="15"/>
      <c r="L28" s="15">
        <f t="shared" si="6"/>
        <v>935.44948634699131</v>
      </c>
      <c r="M28" s="15"/>
      <c r="N28" s="15"/>
      <c r="P28" s="21">
        <f>AVERAGE(L22:L28)</f>
        <v>834.61495385054593</v>
      </c>
      <c r="Q28" s="17" t="s">
        <v>57</v>
      </c>
      <c r="R28" s="15"/>
      <c r="S28" s="15"/>
      <c r="T28" s="16"/>
      <c r="V28" s="14"/>
      <c r="W28" s="15">
        <f t="shared" si="7"/>
        <v>300</v>
      </c>
      <c r="X28" s="15">
        <f t="shared" si="14"/>
        <v>573.15</v>
      </c>
      <c r="Y28" s="20">
        <f t="shared" si="15"/>
        <v>1094.2650488020338</v>
      </c>
      <c r="Z28" s="20">
        <f t="shared" si="8"/>
        <v>820.78798075285977</v>
      </c>
      <c r="AA28" s="20">
        <f t="shared" si="9"/>
        <v>1048.4691347275329</v>
      </c>
      <c r="AB28" s="20">
        <f t="shared" si="10"/>
        <v>740.68987607204269</v>
      </c>
      <c r="AC28" s="20">
        <f t="shared" si="11"/>
        <v>1026.3314739310749</v>
      </c>
      <c r="AD28" s="20"/>
      <c r="AE28" s="15"/>
      <c r="AF28" s="15">
        <f t="shared" si="16"/>
        <v>947.68819065692503</v>
      </c>
      <c r="AG28" s="15"/>
      <c r="AH28" s="15"/>
      <c r="AJ28" s="21">
        <f>AVERAGE(AF22:AF28)</f>
        <v>834.05271497043941</v>
      </c>
      <c r="AK28" s="17" t="s">
        <v>57</v>
      </c>
      <c r="AL28" s="15"/>
      <c r="AM28" s="15"/>
      <c r="AN28" s="16"/>
    </row>
    <row r="29" spans="2:40" x14ac:dyDescent="0.3">
      <c r="B29" s="14"/>
      <c r="C29" s="15">
        <f t="shared" si="0"/>
        <v>350</v>
      </c>
      <c r="D29" s="15">
        <f t="shared" si="12"/>
        <v>623.15</v>
      </c>
      <c r="E29" s="20">
        <f t="shared" si="13"/>
        <v>1117.8043728251912</v>
      </c>
      <c r="F29" s="20">
        <f t="shared" si="1"/>
        <v>834.82951174023594</v>
      </c>
      <c r="G29" s="20">
        <f t="shared" si="2"/>
        <v>568.09426461017904</v>
      </c>
      <c r="H29" s="20">
        <f t="shared" si="3"/>
        <v>701.85950324493649</v>
      </c>
      <c r="I29" s="20">
        <f t="shared" si="4"/>
        <v>1048.8984337458653</v>
      </c>
      <c r="J29" s="20">
        <f t="shared" si="5"/>
        <v>1126.4098448714435</v>
      </c>
      <c r="K29" s="15"/>
      <c r="L29" s="15">
        <f t="shared" si="6"/>
        <v>955.06353885223359</v>
      </c>
      <c r="M29" s="15"/>
      <c r="N29" s="15"/>
      <c r="P29" s="15"/>
      <c r="Q29" s="15"/>
      <c r="R29" s="15"/>
      <c r="S29" s="15"/>
      <c r="T29" s="16"/>
      <c r="V29" s="14"/>
      <c r="W29" s="15">
        <f t="shared" si="7"/>
        <v>350</v>
      </c>
      <c r="X29" s="15">
        <f t="shared" si="14"/>
        <v>623.15</v>
      </c>
      <c r="Y29" s="20">
        <f t="shared" si="15"/>
        <v>1117.8043728251912</v>
      </c>
      <c r="Z29" s="20">
        <f t="shared" si="8"/>
        <v>834.82951174023594</v>
      </c>
      <c r="AA29" s="20">
        <f t="shared" si="9"/>
        <v>1074.8592252414262</v>
      </c>
      <c r="AB29" s="20">
        <f t="shared" si="10"/>
        <v>757.50307846804662</v>
      </c>
      <c r="AC29" s="20">
        <f t="shared" si="11"/>
        <v>1048.8984337458653</v>
      </c>
      <c r="AD29" s="20"/>
      <c r="AE29" s="15"/>
      <c r="AF29" s="15">
        <f t="shared" si="16"/>
        <v>969.64025834574613</v>
      </c>
      <c r="AG29" s="15"/>
      <c r="AH29" s="15"/>
      <c r="AJ29" s="15"/>
      <c r="AK29" s="15"/>
      <c r="AL29" s="15"/>
      <c r="AM29" s="15"/>
      <c r="AN29" s="16"/>
    </row>
    <row r="30" spans="2:40" x14ac:dyDescent="0.3">
      <c r="B30" s="14"/>
      <c r="C30" s="15">
        <f t="shared" si="0"/>
        <v>400</v>
      </c>
      <c r="D30" s="15">
        <f t="shared" si="12"/>
        <v>673.15</v>
      </c>
      <c r="E30" s="20">
        <f t="shared" si="13"/>
        <v>1139.0702128051162</v>
      </c>
      <c r="F30" s="20">
        <f t="shared" si="1"/>
        <v>847.55825930305832</v>
      </c>
      <c r="G30" s="20">
        <f t="shared" si="2"/>
        <v>579.44661834764133</v>
      </c>
      <c r="H30" s="20">
        <f t="shared" si="3"/>
        <v>705.69240834579887</v>
      </c>
      <c r="I30" s="20">
        <f t="shared" si="4"/>
        <v>1067.9003689098308</v>
      </c>
      <c r="J30" s="20">
        <f t="shared" si="5"/>
        <v>1149.4620192459151</v>
      </c>
      <c r="K30" s="15"/>
      <c r="L30" s="15">
        <f t="shared" si="6"/>
        <v>972.57480802877251</v>
      </c>
      <c r="M30" s="15"/>
      <c r="N30" s="15"/>
      <c r="P30" s="15"/>
      <c r="Q30" s="15"/>
      <c r="R30" s="15"/>
      <c r="S30" s="15"/>
      <c r="T30" s="16"/>
      <c r="V30" s="14"/>
      <c r="W30" s="15">
        <f t="shared" si="7"/>
        <v>400</v>
      </c>
      <c r="X30" s="15">
        <f t="shared" si="14"/>
        <v>673.15</v>
      </c>
      <c r="Y30" s="20">
        <f t="shared" si="15"/>
        <v>1139.0702128051162</v>
      </c>
      <c r="Z30" s="20">
        <f t="shared" si="8"/>
        <v>847.55825930305832</v>
      </c>
      <c r="AA30" s="20">
        <f t="shared" si="9"/>
        <v>1097.5648519375379</v>
      </c>
      <c r="AB30" s="20">
        <f t="shared" si="10"/>
        <v>772.14872130375375</v>
      </c>
      <c r="AC30" s="20">
        <f t="shared" si="11"/>
        <v>1067.9003689098308</v>
      </c>
      <c r="AD30" s="20"/>
      <c r="AE30" s="15"/>
      <c r="AF30" s="15">
        <f t="shared" si="16"/>
        <v>988.5308576384557</v>
      </c>
      <c r="AG30" s="15"/>
      <c r="AH30" s="15"/>
      <c r="AJ30" s="15"/>
      <c r="AK30" s="15"/>
      <c r="AL30" s="15"/>
      <c r="AM30" s="15"/>
      <c r="AN30" s="16"/>
    </row>
    <row r="31" spans="2:40" x14ac:dyDescent="0.3">
      <c r="B31" s="14"/>
      <c r="C31" s="15">
        <f t="shared" si="0"/>
        <v>450</v>
      </c>
      <c r="D31" s="15">
        <f t="shared" si="12"/>
        <v>723.15</v>
      </c>
      <c r="E31" s="20">
        <f t="shared" si="13"/>
        <v>1158.5626608585637</v>
      </c>
      <c r="F31" s="20">
        <f t="shared" si="1"/>
        <v>859.48614667582808</v>
      </c>
      <c r="G31" s="20">
        <f t="shared" si="2"/>
        <v>589.47313021937646</v>
      </c>
      <c r="H31" s="20">
        <f t="shared" si="3"/>
        <v>709.52400257411603</v>
      </c>
      <c r="I31" s="20">
        <f t="shared" si="4"/>
        <v>1084.0688512877744</v>
      </c>
      <c r="J31" s="20">
        <f t="shared" si="5"/>
        <v>1169.8945555999401</v>
      </c>
      <c r="K31" s="15"/>
      <c r="L31" s="15">
        <f t="shared" si="6"/>
        <v>988.48213656105179</v>
      </c>
      <c r="M31" s="15"/>
      <c r="N31" s="15"/>
      <c r="P31" s="15"/>
      <c r="Q31" s="15"/>
      <c r="R31" s="15"/>
      <c r="S31" s="15"/>
      <c r="T31" s="16"/>
      <c r="V31" s="14"/>
      <c r="W31" s="15">
        <f t="shared" si="7"/>
        <v>450</v>
      </c>
      <c r="X31" s="15">
        <f t="shared" si="14"/>
        <v>723.15</v>
      </c>
      <c r="Y31" s="20">
        <f t="shared" si="15"/>
        <v>1158.5626608585637</v>
      </c>
      <c r="Z31" s="20">
        <f t="shared" si="8"/>
        <v>859.48614667582808</v>
      </c>
      <c r="AA31" s="20">
        <f t="shared" si="9"/>
        <v>1117.2525015289796</v>
      </c>
      <c r="AB31" s="20">
        <f t="shared" si="10"/>
        <v>785.13912087253254</v>
      </c>
      <c r="AC31" s="20">
        <f t="shared" si="11"/>
        <v>1084.0688512877744</v>
      </c>
      <c r="AD31" s="20"/>
      <c r="AE31" s="15"/>
      <c r="AF31" s="15">
        <f t="shared" si="16"/>
        <v>1004.9866747223959</v>
      </c>
      <c r="AG31" s="15"/>
      <c r="AH31" s="15"/>
      <c r="AJ31" s="15"/>
      <c r="AK31" s="15"/>
      <c r="AL31" s="15"/>
      <c r="AM31" s="15"/>
      <c r="AN31" s="16"/>
    </row>
    <row r="32" spans="2:40" x14ac:dyDescent="0.3">
      <c r="B32" s="14"/>
      <c r="C32" s="15">
        <f t="shared" si="0"/>
        <v>500</v>
      </c>
      <c r="D32" s="15">
        <f t="shared" si="12"/>
        <v>773.15</v>
      </c>
      <c r="E32" s="20">
        <f t="shared" si="13"/>
        <v>1176.6086696046432</v>
      </c>
      <c r="F32" s="20">
        <f t="shared" si="1"/>
        <v>870.96512537738261</v>
      </c>
      <c r="G32" s="20">
        <f t="shared" si="2"/>
        <v>598.57477662432245</v>
      </c>
      <c r="H32" s="20">
        <f t="shared" si="3"/>
        <v>713.35461379220146</v>
      </c>
      <c r="I32" s="20">
        <f t="shared" si="4"/>
        <v>1097.9694863960035</v>
      </c>
      <c r="J32" s="20">
        <f t="shared" si="5"/>
        <v>1188.2130985452079</v>
      </c>
      <c r="K32" s="15"/>
      <c r="L32" s="15">
        <f t="shared" si="6"/>
        <v>1003.1367042497407</v>
      </c>
      <c r="M32" s="15"/>
      <c r="N32" s="15"/>
      <c r="P32" s="15"/>
      <c r="Q32" s="15"/>
      <c r="R32" s="15"/>
      <c r="S32" s="15"/>
      <c r="T32" s="16"/>
      <c r="V32" s="14"/>
      <c r="W32" s="15">
        <f t="shared" si="7"/>
        <v>500</v>
      </c>
      <c r="X32" s="15">
        <f t="shared" si="14"/>
        <v>773.15</v>
      </c>
      <c r="Y32" s="20">
        <f t="shared" si="15"/>
        <v>1176.6086696046432</v>
      </c>
      <c r="Z32" s="20">
        <f t="shared" si="8"/>
        <v>870.96512537738261</v>
      </c>
      <c r="AA32" s="20">
        <f t="shared" si="9"/>
        <v>1134.449294755301</v>
      </c>
      <c r="AB32" s="20">
        <f t="shared" si="10"/>
        <v>796.86045055563795</v>
      </c>
      <c r="AC32" s="20">
        <f t="shared" si="11"/>
        <v>1097.9694863960035</v>
      </c>
      <c r="AD32" s="20"/>
      <c r="AE32" s="15"/>
      <c r="AF32" s="15">
        <f t="shared" si="16"/>
        <v>1019.4885780910149</v>
      </c>
      <c r="AG32" s="15"/>
      <c r="AH32" s="15"/>
      <c r="AJ32" s="15"/>
      <c r="AK32" s="15"/>
      <c r="AL32" s="15"/>
      <c r="AM32" s="15"/>
      <c r="AN32" s="16"/>
    </row>
    <row r="33" spans="2:40" x14ac:dyDescent="0.3">
      <c r="B33" s="14"/>
      <c r="C33" s="15">
        <f t="shared" si="0"/>
        <v>550</v>
      </c>
      <c r="D33" s="15">
        <f t="shared" si="12"/>
        <v>823.15</v>
      </c>
      <c r="E33" s="20">
        <f t="shared" si="13"/>
        <v>1193.4266839602235</v>
      </c>
      <c r="F33" s="20">
        <f t="shared" si="1"/>
        <v>882.24361840705001</v>
      </c>
      <c r="G33" s="20">
        <f t="shared" si="2"/>
        <v>607.07859393909985</v>
      </c>
      <c r="H33" s="20">
        <f t="shared" si="3"/>
        <v>717.18447341982505</v>
      </c>
      <c r="I33" s="20">
        <f t="shared" si="4"/>
        <v>1110.0473129911613</v>
      </c>
      <c r="J33" s="20">
        <f t="shared" si="5"/>
        <v>1204.7969781378554</v>
      </c>
      <c r="K33" s="15"/>
      <c r="L33" s="15">
        <f t="shared" si="6"/>
        <v>1016.7924013243995</v>
      </c>
      <c r="M33" s="15"/>
      <c r="N33" s="15"/>
      <c r="O33" s="15"/>
      <c r="P33" s="15"/>
      <c r="Q33" s="15"/>
      <c r="R33" s="15"/>
      <c r="S33" s="15"/>
      <c r="T33" s="16"/>
      <c r="V33" s="14"/>
      <c r="W33" s="15">
        <f t="shared" si="7"/>
        <v>550</v>
      </c>
      <c r="X33" s="15">
        <f t="shared" si="14"/>
        <v>823.15</v>
      </c>
      <c r="Y33" s="20">
        <f t="shared" si="15"/>
        <v>1193.4266839602235</v>
      </c>
      <c r="Z33" s="20">
        <f t="shared" si="8"/>
        <v>882.24361840705001</v>
      </c>
      <c r="AA33" s="20">
        <f t="shared" si="9"/>
        <v>1149.5776851657452</v>
      </c>
      <c r="AB33" s="20">
        <f t="shared" si="10"/>
        <v>807.61011636846354</v>
      </c>
      <c r="AC33" s="20">
        <f t="shared" si="11"/>
        <v>1110.0473129911613</v>
      </c>
      <c r="AD33" s="20"/>
      <c r="AE33" s="15"/>
      <c r="AF33" s="15">
        <f t="shared" si="16"/>
        <v>1032.4125614666802</v>
      </c>
      <c r="AG33" s="15"/>
      <c r="AH33" s="15"/>
      <c r="AJ33" s="15"/>
      <c r="AK33" s="15"/>
      <c r="AL33" s="15"/>
      <c r="AM33" s="15"/>
      <c r="AN33" s="16"/>
    </row>
    <row r="34" spans="2:40" x14ac:dyDescent="0.3">
      <c r="B34" s="14"/>
      <c r="C34" s="15">
        <f t="shared" si="0"/>
        <v>600</v>
      </c>
      <c r="D34" s="15">
        <f t="shared" si="12"/>
        <v>873.15</v>
      </c>
      <c r="E34" s="20">
        <f t="shared" si="13"/>
        <v>1209.1652490154218</v>
      </c>
      <c r="F34" s="20">
        <f t="shared" si="1"/>
        <v>893.50102522128611</v>
      </c>
      <c r="G34" s="20">
        <f t="shared" si="2"/>
        <v>615.25360271797683</v>
      </c>
      <c r="H34" s="20">
        <f t="shared" si="3"/>
        <v>721.01374857750648</v>
      </c>
      <c r="I34" s="20">
        <f t="shared" si="4"/>
        <v>1120.6579108871661</v>
      </c>
      <c r="J34" s="20">
        <f t="shared" si="5"/>
        <v>1219.9368665845068</v>
      </c>
      <c r="K34" s="15"/>
      <c r="L34" s="15">
        <f t="shared" si="6"/>
        <v>1029.6370629453825</v>
      </c>
      <c r="M34" s="15"/>
      <c r="N34" s="15"/>
      <c r="O34" s="15"/>
      <c r="P34" s="15"/>
      <c r="Q34" s="15"/>
      <c r="R34" s="15"/>
      <c r="S34" s="15"/>
      <c r="T34" s="16"/>
      <c r="V34" s="14"/>
      <c r="W34" s="15">
        <f t="shared" si="7"/>
        <v>600</v>
      </c>
      <c r="X34" s="15">
        <f t="shared" si="14"/>
        <v>873.15</v>
      </c>
      <c r="Y34" s="20">
        <f t="shared" si="15"/>
        <v>1209.1652490154218</v>
      </c>
      <c r="Z34" s="20">
        <f t="shared" si="8"/>
        <v>893.50102522128611</v>
      </c>
      <c r="AA34" s="20">
        <f t="shared" si="9"/>
        <v>1162.9803605636969</v>
      </c>
      <c r="AB34" s="20">
        <f t="shared" si="10"/>
        <v>817.62142328333653</v>
      </c>
      <c r="AC34" s="20">
        <f t="shared" si="11"/>
        <v>1120.6579108871661</v>
      </c>
      <c r="AD34" s="20"/>
      <c r="AE34" s="15"/>
      <c r="AF34" s="15">
        <f t="shared" si="16"/>
        <v>1044.0574510768847</v>
      </c>
      <c r="AG34" s="15"/>
      <c r="AH34" s="15"/>
      <c r="AI34" s="15"/>
      <c r="AJ34" s="15"/>
      <c r="AK34" s="15"/>
      <c r="AL34" s="15"/>
      <c r="AM34" s="15"/>
      <c r="AN34" s="16"/>
    </row>
    <row r="35" spans="2:40" x14ac:dyDescent="0.3">
      <c r="B35" s="14"/>
      <c r="C35" s="15">
        <f t="shared" si="0"/>
        <v>650</v>
      </c>
      <c r="D35" s="15">
        <f t="shared" si="12"/>
        <v>923.15</v>
      </c>
      <c r="E35" s="20">
        <f t="shared" si="13"/>
        <v>1223.9268096611409</v>
      </c>
      <c r="F35" s="20">
        <f t="shared" si="1"/>
        <v>904.86951881001301</v>
      </c>
      <c r="G35" s="20">
        <f t="shared" si="2"/>
        <v>623.3229700001292</v>
      </c>
      <c r="H35" s="20">
        <f t="shared" si="3"/>
        <v>724.84256239169906</v>
      </c>
      <c r="I35" s="20">
        <f t="shared" si="4"/>
        <v>1130.0892408778216</v>
      </c>
      <c r="J35" s="20">
        <f t="shared" si="5"/>
        <v>1233.8596377391218</v>
      </c>
      <c r="K35" s="15"/>
      <c r="L35" s="15">
        <f t="shared" si="6"/>
        <v>1041.8124875572539</v>
      </c>
      <c r="M35" s="15"/>
      <c r="N35" s="15"/>
      <c r="O35" s="15"/>
      <c r="P35" s="17" t="s">
        <v>89</v>
      </c>
      <c r="Q35" s="17"/>
      <c r="R35" s="15"/>
      <c r="S35" s="15"/>
      <c r="T35" s="16"/>
      <c r="V35" s="14"/>
      <c r="W35" s="15">
        <f t="shared" si="7"/>
        <v>650</v>
      </c>
      <c r="X35" s="15">
        <f t="shared" si="14"/>
        <v>923.15</v>
      </c>
      <c r="Y35" s="20">
        <f t="shared" si="15"/>
        <v>1223.9268096611409</v>
      </c>
      <c r="Z35" s="20">
        <f t="shared" si="8"/>
        <v>904.86951881001301</v>
      </c>
      <c r="AA35" s="20">
        <f t="shared" si="9"/>
        <v>1174.9383811094724</v>
      </c>
      <c r="AB35" s="20">
        <f t="shared" si="10"/>
        <v>827.08034346547208</v>
      </c>
      <c r="AC35" s="20">
        <f t="shared" si="11"/>
        <v>1130.0892408778216</v>
      </c>
      <c r="AD35" s="20"/>
      <c r="AE35" s="15"/>
      <c r="AF35" s="15">
        <f t="shared" si="16"/>
        <v>1054.664156213888</v>
      </c>
      <c r="AG35" s="15"/>
      <c r="AH35" s="15"/>
      <c r="AI35" s="15"/>
      <c r="AJ35" s="17" t="s">
        <v>89</v>
      </c>
      <c r="AK35" s="17"/>
      <c r="AL35" s="15"/>
      <c r="AM35" s="15"/>
      <c r="AN35" s="16"/>
    </row>
    <row r="36" spans="2:40" x14ac:dyDescent="0.3">
      <c r="B36" s="14"/>
      <c r="C36" s="15">
        <f t="shared" si="0"/>
        <v>700</v>
      </c>
      <c r="D36" s="15">
        <f t="shared" si="12"/>
        <v>973.15</v>
      </c>
      <c r="E36" s="20">
        <f t="shared" si="13"/>
        <v>1237.7827870110905</v>
      </c>
      <c r="F36" s="20">
        <f t="shared" si="1"/>
        <v>916.44821530362594</v>
      </c>
      <c r="G36" s="20">
        <f t="shared" si="2"/>
        <v>631.4733251435938</v>
      </c>
      <c r="H36" s="20">
        <f t="shared" si="3"/>
        <v>728.67100719456278</v>
      </c>
      <c r="I36" s="20">
        <f t="shared" si="4"/>
        <v>1138.577309333728</v>
      </c>
      <c r="J36" s="20">
        <f t="shared" si="5"/>
        <v>1246.7452456588303</v>
      </c>
      <c r="K36" s="15"/>
      <c r="L36" s="15">
        <f t="shared" si="6"/>
        <v>1053.4276427477635</v>
      </c>
      <c r="M36" s="15"/>
      <c r="N36" s="15"/>
      <c r="O36" s="15"/>
      <c r="P36" s="21">
        <f>AVERAGE(L22:L48)</f>
        <v>1012.0464524004535</v>
      </c>
      <c r="Q36" s="17" t="s">
        <v>57</v>
      </c>
      <c r="R36" s="15"/>
      <c r="S36" s="15"/>
      <c r="T36" s="16"/>
      <c r="V36" s="14"/>
      <c r="W36" s="15">
        <f t="shared" si="7"/>
        <v>700</v>
      </c>
      <c r="X36" s="15">
        <f t="shared" si="14"/>
        <v>973.15</v>
      </c>
      <c r="Y36" s="20">
        <f t="shared" si="15"/>
        <v>1237.7827870110905</v>
      </c>
      <c r="Z36" s="20">
        <f t="shared" si="8"/>
        <v>916.44821530362594</v>
      </c>
      <c r="AA36" s="20">
        <f t="shared" si="9"/>
        <v>1185.6845841320383</v>
      </c>
      <c r="AB36" s="20">
        <f t="shared" si="10"/>
        <v>836.13721194449386</v>
      </c>
      <c r="AC36" s="20">
        <f t="shared" si="11"/>
        <v>1138.577309333728</v>
      </c>
      <c r="AD36" s="20"/>
      <c r="AE36" s="15"/>
      <c r="AF36" s="15">
        <f t="shared" si="16"/>
        <v>1064.4293548324567</v>
      </c>
      <c r="AG36" s="15"/>
      <c r="AH36" s="15"/>
      <c r="AI36" s="15"/>
      <c r="AJ36" s="21">
        <f>AVERAGE(AF22:AF48)</f>
        <v>1015.0624763793262</v>
      </c>
      <c r="AK36" s="17" t="s">
        <v>57</v>
      </c>
      <c r="AL36" s="15"/>
      <c r="AM36" s="15"/>
      <c r="AN36" s="16"/>
    </row>
    <row r="37" spans="2:40" x14ac:dyDescent="0.3">
      <c r="B37" s="14"/>
      <c r="C37" s="15">
        <f t="shared" si="0"/>
        <v>750</v>
      </c>
      <c r="D37" s="15">
        <f t="shared" si="12"/>
        <v>1023.15</v>
      </c>
      <c r="E37" s="20">
        <f t="shared" si="13"/>
        <v>1250.7833586746526</v>
      </c>
      <c r="F37" s="20">
        <f t="shared" si="1"/>
        <v>928.31262072817219</v>
      </c>
      <c r="G37" s="20">
        <f t="shared" si="2"/>
        <v>639.8619378473154</v>
      </c>
      <c r="H37" s="20">
        <f t="shared" si="3"/>
        <v>732.49915332413843</v>
      </c>
      <c r="I37" s="20">
        <f t="shared" si="4"/>
        <v>1146.3176184468141</v>
      </c>
      <c r="J37" s="20">
        <f t="shared" si="5"/>
        <v>1258.7384702170555</v>
      </c>
      <c r="K37" s="15"/>
      <c r="L37" s="15">
        <f t="shared" si="6"/>
        <v>1064.5676016104612</v>
      </c>
      <c r="M37" s="15"/>
      <c r="N37" s="15"/>
      <c r="O37" s="15"/>
      <c r="P37" s="15"/>
      <c r="Q37" s="15"/>
      <c r="R37" s="15"/>
      <c r="S37" s="15"/>
      <c r="T37" s="16"/>
      <c r="V37" s="14"/>
      <c r="W37" s="15">
        <f t="shared" si="7"/>
        <v>750</v>
      </c>
      <c r="X37" s="15">
        <f t="shared" si="14"/>
        <v>1023.15</v>
      </c>
      <c r="Y37" s="20">
        <f t="shared" si="15"/>
        <v>1250.7833586746526</v>
      </c>
      <c r="Z37" s="20">
        <f t="shared" si="8"/>
        <v>928.31262072817219</v>
      </c>
      <c r="AA37" s="20">
        <f t="shared" si="9"/>
        <v>1195.4136284322799</v>
      </c>
      <c r="AB37" s="20">
        <f t="shared" si="10"/>
        <v>844.9150696792484</v>
      </c>
      <c r="AC37" s="20">
        <f t="shared" si="11"/>
        <v>1146.3176184468141</v>
      </c>
      <c r="AD37" s="20"/>
      <c r="AE37" s="15"/>
      <c r="AF37" s="15">
        <f t="shared" si="16"/>
        <v>1073.5154214711911</v>
      </c>
      <c r="AG37" s="15"/>
      <c r="AH37" s="15"/>
      <c r="AI37" s="15"/>
      <c r="AJ37" s="15"/>
      <c r="AK37" s="15"/>
      <c r="AL37" s="15"/>
      <c r="AM37" s="15"/>
      <c r="AN37" s="16"/>
    </row>
    <row r="38" spans="2:40" x14ac:dyDescent="0.3">
      <c r="B38" s="14"/>
      <c r="C38" s="15">
        <f t="shared" si="0"/>
        <v>800.00000000000011</v>
      </c>
      <c r="D38" s="15">
        <f t="shared" si="12"/>
        <v>1073.1500000000001</v>
      </c>
      <c r="E38" s="20">
        <f t="shared" si="13"/>
        <v>1262.963937118843</v>
      </c>
      <c r="F38" s="20">
        <f t="shared" si="1"/>
        <v>940.52107189709329</v>
      </c>
      <c r="G38" s="20">
        <f t="shared" si="2"/>
        <v>648.62228994741793</v>
      </c>
      <c r="H38" s="20">
        <f t="shared" si="3"/>
        <v>736.32705512439577</v>
      </c>
      <c r="I38" s="20">
        <f t="shared" si="4"/>
        <v>1153.4736785882017</v>
      </c>
      <c r="J38" s="20">
        <f t="shared" si="5"/>
        <v>1269.9572707057539</v>
      </c>
      <c r="K38" s="15"/>
      <c r="L38" s="15">
        <f t="shared" si="6"/>
        <v>1075.2997282301676</v>
      </c>
      <c r="M38" s="15"/>
      <c r="N38" s="15"/>
      <c r="O38" s="15"/>
      <c r="P38" s="15"/>
      <c r="Q38" s="15"/>
      <c r="R38" s="15"/>
      <c r="S38" s="15"/>
      <c r="T38" s="16"/>
      <c r="V38" s="14"/>
      <c r="W38" s="15">
        <f t="shared" si="7"/>
        <v>800.00000000000011</v>
      </c>
      <c r="X38" s="15">
        <f t="shared" si="14"/>
        <v>1073.1500000000001</v>
      </c>
      <c r="Y38" s="20">
        <f t="shared" si="15"/>
        <v>1262.963937118843</v>
      </c>
      <c r="Z38" s="20">
        <f t="shared" si="8"/>
        <v>940.52107189709329</v>
      </c>
      <c r="AA38" s="20">
        <f t="shared" si="9"/>
        <v>1204.2896185739742</v>
      </c>
      <c r="AB38" s="20">
        <f t="shared" si="10"/>
        <v>853.51573429139808</v>
      </c>
      <c r="AC38" s="20">
        <f t="shared" si="11"/>
        <v>1153.4736785882017</v>
      </c>
      <c r="AD38" s="20"/>
      <c r="AE38" s="15"/>
      <c r="AF38" s="15">
        <f t="shared" si="16"/>
        <v>1082.0577594726242</v>
      </c>
      <c r="AG38" s="15"/>
      <c r="AH38" s="15"/>
      <c r="AI38" s="15"/>
      <c r="AJ38" s="15"/>
      <c r="AK38" s="15"/>
      <c r="AL38" s="15"/>
      <c r="AM38" s="15"/>
      <c r="AN38" s="16"/>
    </row>
    <row r="39" spans="2:40" x14ac:dyDescent="0.3">
      <c r="B39" s="14"/>
      <c r="C39" s="15">
        <f t="shared" si="0"/>
        <v>850.00000000000011</v>
      </c>
      <c r="D39" s="15">
        <f t="shared" si="12"/>
        <v>1123.1500000000001</v>
      </c>
      <c r="E39" s="20">
        <f t="shared" si="13"/>
        <v>1274.3495405541332</v>
      </c>
      <c r="F39" s="20">
        <f t="shared" si="1"/>
        <v>953.11921682088803</v>
      </c>
      <c r="G39" s="20">
        <f t="shared" si="2"/>
        <v>657.86843511623579</v>
      </c>
      <c r="H39" s="20">
        <f t="shared" si="3"/>
        <v>740.15475511898205</v>
      </c>
      <c r="I39" s="20">
        <f t="shared" si="4"/>
        <v>1160.1834333069755</v>
      </c>
      <c r="J39" s="20">
        <f t="shared" si="5"/>
        <v>1280.4988432940988</v>
      </c>
      <c r="K39" s="15"/>
      <c r="L39" s="15">
        <f t="shared" si="6"/>
        <v>1085.6780465236407</v>
      </c>
      <c r="M39" s="15"/>
      <c r="N39" s="15"/>
      <c r="O39" s="15"/>
      <c r="P39" s="15"/>
      <c r="Q39" s="15"/>
      <c r="R39" s="15"/>
      <c r="S39" s="15"/>
      <c r="T39" s="16"/>
      <c r="V39" s="14"/>
      <c r="W39" s="15">
        <f t="shared" si="7"/>
        <v>850.00000000000011</v>
      </c>
      <c r="X39" s="15">
        <f t="shared" si="14"/>
        <v>1123.1500000000001</v>
      </c>
      <c r="Y39" s="20">
        <f t="shared" si="15"/>
        <v>1274.3495405541332</v>
      </c>
      <c r="Z39" s="20">
        <f t="shared" si="8"/>
        <v>953.11921682088803</v>
      </c>
      <c r="AA39" s="20">
        <f t="shared" si="9"/>
        <v>1212.4519624690583</v>
      </c>
      <c r="AB39" s="20">
        <f t="shared" si="10"/>
        <v>862.02429594692592</v>
      </c>
      <c r="AC39" s="20">
        <f t="shared" si="11"/>
        <v>1160.1834333069755</v>
      </c>
      <c r="AD39" s="20"/>
      <c r="AE39" s="15"/>
      <c r="AF39" s="15">
        <f t="shared" si="16"/>
        <v>1090.1703035359349</v>
      </c>
      <c r="AG39" s="15"/>
      <c r="AH39" s="15"/>
      <c r="AI39" s="15"/>
      <c r="AJ39" s="15"/>
      <c r="AK39" s="15"/>
      <c r="AL39" s="15"/>
      <c r="AM39" s="15"/>
      <c r="AN39" s="16"/>
    </row>
    <row r="40" spans="2:40" x14ac:dyDescent="0.3">
      <c r="B40" s="14"/>
      <c r="C40" s="15">
        <f t="shared" si="0"/>
        <v>900.00000000000011</v>
      </c>
      <c r="D40" s="15">
        <f t="shared" si="12"/>
        <v>1173.1500000000001</v>
      </c>
      <c r="E40" s="20">
        <f t="shared" si="13"/>
        <v>1284.9577903205916</v>
      </c>
      <c r="F40" s="20">
        <f t="shared" si="1"/>
        <v>966.14318810275154</v>
      </c>
      <c r="G40" s="20">
        <f t="shared" si="2"/>
        <v>667.69843802865807</v>
      </c>
      <c r="H40" s="20">
        <f t="shared" si="3"/>
        <v>743.98228696741648</v>
      </c>
      <c r="I40" s="20">
        <f t="shared" si="4"/>
        <v>1166.5641756778573</v>
      </c>
      <c r="J40" s="20">
        <f t="shared" si="5"/>
        <v>1290.4440903980233</v>
      </c>
      <c r="K40" s="15"/>
      <c r="L40" s="15">
        <f t="shared" si="6"/>
        <v>1095.7463825980697</v>
      </c>
      <c r="M40" s="15"/>
      <c r="N40" s="15"/>
      <c r="O40" s="15"/>
      <c r="P40" s="15"/>
      <c r="Q40" s="15"/>
      <c r="R40" s="15"/>
      <c r="S40" s="15"/>
      <c r="T40" s="16"/>
      <c r="V40" s="14"/>
      <c r="W40" s="15">
        <f t="shared" si="7"/>
        <v>900.00000000000011</v>
      </c>
      <c r="X40" s="15">
        <f t="shared" si="14"/>
        <v>1173.1500000000001</v>
      </c>
      <c r="Y40" s="20">
        <f t="shared" si="15"/>
        <v>1284.9577903205916</v>
      </c>
      <c r="Z40" s="20">
        <f t="shared" si="8"/>
        <v>966.14318810275154</v>
      </c>
      <c r="AA40" s="20">
        <f t="shared" si="9"/>
        <v>1220.019922384676</v>
      </c>
      <c r="AB40" s="20">
        <f t="shared" si="10"/>
        <v>870.51249987625602</v>
      </c>
      <c r="AC40" s="20">
        <f t="shared" si="11"/>
        <v>1166.5641756778573</v>
      </c>
      <c r="AD40" s="20"/>
      <c r="AE40" s="15"/>
      <c r="AF40" s="15">
        <f t="shared" si="16"/>
        <v>1097.9497090106208</v>
      </c>
      <c r="AG40" s="15"/>
      <c r="AH40" s="15"/>
      <c r="AI40" s="15"/>
      <c r="AJ40" s="15"/>
      <c r="AK40" s="15"/>
      <c r="AL40" s="15"/>
      <c r="AM40" s="15"/>
      <c r="AN40" s="16"/>
    </row>
    <row r="41" spans="2:40" x14ac:dyDescent="0.3">
      <c r="B41" s="14"/>
      <c r="C41" s="15">
        <f t="shared" si="0"/>
        <v>950.00000000000011</v>
      </c>
      <c r="D41" s="15">
        <f t="shared" si="12"/>
        <v>1223.1500000000001</v>
      </c>
      <c r="E41" s="20">
        <f t="shared" si="13"/>
        <v>1294.8009962577316</v>
      </c>
      <c r="F41" s="20">
        <f t="shared" si="1"/>
        <v>979.62188757958893</v>
      </c>
      <c r="G41" s="20">
        <f t="shared" si="2"/>
        <v>678.19710925587981</v>
      </c>
      <c r="H41" s="20">
        <f t="shared" si="3"/>
        <v>747.80967759335965</v>
      </c>
      <c r="I41" s="20">
        <f t="shared" si="4"/>
        <v>1172.716357259412</v>
      </c>
      <c r="J41" s="20">
        <f t="shared" si="5"/>
        <v>1299.8609702612937</v>
      </c>
      <c r="K41" s="15"/>
      <c r="L41" s="15">
        <f t="shared" si="6"/>
        <v>1105.5406624166071</v>
      </c>
      <c r="M41" s="15"/>
      <c r="N41" s="15"/>
      <c r="O41" s="15"/>
      <c r="P41" s="15"/>
      <c r="Q41" s="15"/>
      <c r="R41" s="15"/>
      <c r="S41" s="15"/>
      <c r="T41" s="16"/>
      <c r="V41" s="14"/>
      <c r="W41" s="15">
        <f t="shared" si="7"/>
        <v>950.00000000000011</v>
      </c>
      <c r="X41" s="15">
        <f t="shared" si="14"/>
        <v>1223.1500000000001</v>
      </c>
      <c r="Y41" s="20">
        <f t="shared" si="15"/>
        <v>1294.8009962577316</v>
      </c>
      <c r="Z41" s="20">
        <f t="shared" si="8"/>
        <v>979.62188757958893</v>
      </c>
      <c r="AA41" s="20">
        <f t="shared" si="9"/>
        <v>1227.096187818956</v>
      </c>
      <c r="AB41" s="20">
        <f t="shared" si="10"/>
        <v>879.04132763701762</v>
      </c>
      <c r="AC41" s="20">
        <f t="shared" si="11"/>
        <v>1172.716357259412</v>
      </c>
      <c r="AD41" s="20"/>
      <c r="AE41" s="15"/>
      <c r="AF41" s="15">
        <f t="shared" si="16"/>
        <v>1105.4785830980504</v>
      </c>
      <c r="AG41" s="15"/>
      <c r="AH41" s="15"/>
      <c r="AI41" s="15"/>
      <c r="AJ41" s="15"/>
      <c r="AK41" s="15"/>
      <c r="AL41" s="15"/>
      <c r="AM41" s="15"/>
      <c r="AN41" s="16"/>
    </row>
    <row r="42" spans="2:40" x14ac:dyDescent="0.3">
      <c r="B42" s="14"/>
      <c r="C42" s="15">
        <f t="shared" si="0"/>
        <v>1000.0000000000001</v>
      </c>
      <c r="D42" s="15">
        <f t="shared" si="12"/>
        <v>1273.1500000000001</v>
      </c>
      <c r="E42" s="20">
        <f t="shared" si="13"/>
        <v>1303.887626251993</v>
      </c>
      <c r="F42" s="20">
        <f t="shared" si="1"/>
        <v>993.57865569833712</v>
      </c>
      <c r="G42" s="20">
        <f t="shared" si="2"/>
        <v>689.43819713182791</v>
      </c>
      <c r="H42" s="20">
        <f t="shared" si="3"/>
        <v>751.63694873972895</v>
      </c>
      <c r="I42" s="20">
        <f t="shared" si="4"/>
        <v>1178.7265726874766</v>
      </c>
      <c r="J42" s="20">
        <f t="shared" si="5"/>
        <v>1308.8070430666298</v>
      </c>
      <c r="K42" s="15"/>
      <c r="L42" s="15">
        <f t="shared" si="6"/>
        <v>1115.0906171238421</v>
      </c>
      <c r="M42" s="15"/>
      <c r="N42" s="15"/>
      <c r="O42" s="15"/>
      <c r="P42" s="15"/>
      <c r="Q42" s="15"/>
      <c r="R42" s="15"/>
      <c r="S42" s="15"/>
      <c r="T42" s="16"/>
      <c r="V42" s="14"/>
      <c r="W42" s="15">
        <f t="shared" si="7"/>
        <v>1000.0000000000001</v>
      </c>
      <c r="X42" s="15">
        <f t="shared" si="14"/>
        <v>1273.1500000000001</v>
      </c>
      <c r="Y42" s="20">
        <f t="shared" si="15"/>
        <v>1303.887626251993</v>
      </c>
      <c r="Z42" s="20">
        <f t="shared" si="8"/>
        <v>993.57865569833712</v>
      </c>
      <c r="AA42" s="20">
        <f t="shared" si="9"/>
        <v>1233.7697077224755</v>
      </c>
      <c r="AB42" s="20">
        <f t="shared" si="10"/>
        <v>887.6629923883321</v>
      </c>
      <c r="AC42" s="20">
        <f t="shared" si="11"/>
        <v>1178.7265726874766</v>
      </c>
      <c r="AD42" s="20"/>
      <c r="AE42" s="15"/>
      <c r="AF42" s="15">
        <f t="shared" si="16"/>
        <v>1112.8280066830212</v>
      </c>
      <c r="AG42" s="15"/>
      <c r="AH42" s="15"/>
      <c r="AI42" s="15"/>
      <c r="AJ42" s="15"/>
      <c r="AK42" s="15"/>
      <c r="AL42" s="15"/>
      <c r="AM42" s="15"/>
      <c r="AN42" s="16"/>
    </row>
    <row r="43" spans="2:40" x14ac:dyDescent="0.3">
      <c r="B43" s="14"/>
      <c r="C43" s="15">
        <f t="shared" si="0"/>
        <v>1050</v>
      </c>
      <c r="D43" s="15">
        <f t="shared" si="12"/>
        <v>1323.15</v>
      </c>
      <c r="E43" s="20">
        <f t="shared" si="13"/>
        <v>1312.2233536366396</v>
      </c>
      <c r="F43" s="20">
        <f t="shared" si="1"/>
        <v>1008.0325079558434</v>
      </c>
      <c r="G43" s="20">
        <f t="shared" si="2"/>
        <v>701.48615761317944</v>
      </c>
      <c r="H43" s="20">
        <f t="shared" si="3"/>
        <v>755.46411812051201</v>
      </c>
      <c r="I43" s="20">
        <f t="shared" si="4"/>
        <v>1184.6699226648091</v>
      </c>
      <c r="J43" s="20">
        <f t="shared" si="5"/>
        <v>1317.3314313480575</v>
      </c>
      <c r="K43" s="15"/>
      <c r="L43" s="15">
        <f t="shared" si="6"/>
        <v>1124.4210661153224</v>
      </c>
      <c r="M43" s="15"/>
      <c r="N43" s="15"/>
      <c r="O43" s="15"/>
      <c r="P43" s="15"/>
      <c r="Q43" s="15"/>
      <c r="R43" s="15"/>
      <c r="S43" s="15"/>
      <c r="T43" s="16"/>
      <c r="V43" s="14"/>
      <c r="W43" s="15">
        <f t="shared" si="7"/>
        <v>1050</v>
      </c>
      <c r="X43" s="15">
        <f t="shared" si="14"/>
        <v>1323.15</v>
      </c>
      <c r="Y43" s="20">
        <f t="shared" si="15"/>
        <v>1312.2233536366396</v>
      </c>
      <c r="Z43" s="20">
        <f t="shared" si="8"/>
        <v>1008.0325079558434</v>
      </c>
      <c r="AA43" s="20">
        <f t="shared" si="9"/>
        <v>1240.1179558680287</v>
      </c>
      <c r="AB43" s="20">
        <f t="shared" si="10"/>
        <v>896.42249931950846</v>
      </c>
      <c r="AC43" s="20">
        <f t="shared" si="11"/>
        <v>1184.6699226648091</v>
      </c>
      <c r="AD43" s="20"/>
      <c r="AE43" s="15"/>
      <c r="AF43" s="15">
        <f t="shared" si="16"/>
        <v>1120.0595238503797</v>
      </c>
      <c r="AG43" s="15"/>
      <c r="AH43" s="15"/>
      <c r="AI43" s="15"/>
      <c r="AJ43" s="15"/>
      <c r="AK43" s="15"/>
      <c r="AL43" s="15"/>
      <c r="AM43" s="15"/>
      <c r="AN43" s="16"/>
    </row>
    <row r="44" spans="2:40" x14ac:dyDescent="0.3">
      <c r="B44" s="14"/>
      <c r="C44" s="15">
        <f t="shared" si="0"/>
        <v>1100</v>
      </c>
      <c r="D44" s="15">
        <f t="shared" si="12"/>
        <v>1373.15</v>
      </c>
      <c r="E44" s="20">
        <f t="shared" si="13"/>
        <v>1319.811811236814</v>
      </c>
      <c r="F44" s="20">
        <f t="shared" si="1"/>
        <v>1022.9990621226483</v>
      </c>
      <c r="G44" s="20">
        <f t="shared" si="2"/>
        <v>714.39759362685129</v>
      </c>
      <c r="H44" s="20">
        <f t="shared" si="3"/>
        <v>759.29120028452633</v>
      </c>
      <c r="I44" s="20">
        <f t="shared" si="4"/>
        <v>1190.6119026895885</v>
      </c>
      <c r="J44" s="20">
        <f t="shared" si="5"/>
        <v>1325.4763472512354</v>
      </c>
      <c r="K44" s="15"/>
      <c r="L44" s="15">
        <f t="shared" si="6"/>
        <v>1133.5528945436781</v>
      </c>
      <c r="M44" s="15"/>
      <c r="N44" s="15"/>
      <c r="O44" s="15"/>
      <c r="P44" s="15"/>
      <c r="Q44" s="15"/>
      <c r="R44" s="15"/>
      <c r="S44" s="15"/>
      <c r="T44" s="16"/>
      <c r="V44" s="14"/>
      <c r="W44" s="15">
        <f t="shared" si="7"/>
        <v>1100</v>
      </c>
      <c r="X44" s="15">
        <f t="shared" si="14"/>
        <v>1373.15</v>
      </c>
      <c r="Y44" s="20">
        <f t="shared" si="15"/>
        <v>1319.811811236814</v>
      </c>
      <c r="Z44" s="20">
        <f t="shared" si="8"/>
        <v>1022.9990621226483</v>
      </c>
      <c r="AA44" s="20">
        <f t="shared" si="9"/>
        <v>1246.2087580367408</v>
      </c>
      <c r="AB44" s="20">
        <f t="shared" si="10"/>
        <v>905.35887908075642</v>
      </c>
      <c r="AC44" s="20">
        <f t="shared" si="11"/>
        <v>1190.6119026895885</v>
      </c>
      <c r="AD44" s="20"/>
      <c r="AE44" s="15"/>
      <c r="AF44" s="15">
        <f t="shared" si="16"/>
        <v>1127.2267270195225</v>
      </c>
      <c r="AG44" s="15"/>
      <c r="AH44" s="15"/>
      <c r="AI44" s="15"/>
      <c r="AJ44" s="15"/>
      <c r="AK44" s="15"/>
      <c r="AL44" s="15"/>
      <c r="AM44" s="15"/>
      <c r="AN44" s="16"/>
    </row>
    <row r="45" spans="2:40" x14ac:dyDescent="0.3">
      <c r="B45" s="14"/>
      <c r="C45" s="15">
        <f t="shared" si="0"/>
        <v>1150</v>
      </c>
      <c r="D45" s="15">
        <f t="shared" si="12"/>
        <v>1423.15</v>
      </c>
      <c r="E45" s="20">
        <f t="shared" si="13"/>
        <v>1326.6551390295995</v>
      </c>
      <c r="F45" s="20">
        <f t="shared" si="1"/>
        <v>1038.4912415715489</v>
      </c>
      <c r="G45" s="20">
        <f t="shared" si="2"/>
        <v>728.22243360002892</v>
      </c>
      <c r="H45" s="20">
        <f t="shared" si="3"/>
        <v>763.11820727060854</v>
      </c>
      <c r="I45" s="20">
        <f t="shared" si="4"/>
        <v>1196.6099260025267</v>
      </c>
      <c r="J45" s="20">
        <f t="shared" si="5"/>
        <v>1333.2782952041173</v>
      </c>
      <c r="K45" s="15"/>
      <c r="L45" s="15">
        <f t="shared" si="6"/>
        <v>1142.5038066370323</v>
      </c>
      <c r="M45" s="15"/>
      <c r="N45" s="15"/>
      <c r="O45" s="15"/>
      <c r="P45" s="15"/>
      <c r="Q45" s="15"/>
      <c r="R45" s="15"/>
      <c r="S45" s="15"/>
      <c r="T45" s="16"/>
      <c r="V45" s="14"/>
      <c r="W45" s="15">
        <f t="shared" si="7"/>
        <v>1150</v>
      </c>
      <c r="X45" s="15">
        <f t="shared" si="14"/>
        <v>1423.15</v>
      </c>
      <c r="Y45" s="20">
        <f t="shared" si="15"/>
        <v>1326.6551390295995</v>
      </c>
      <c r="Z45" s="20">
        <f t="shared" si="8"/>
        <v>1038.4912415715489</v>
      </c>
      <c r="AA45" s="20">
        <f t="shared" si="9"/>
        <v>1252.1017773083131</v>
      </c>
      <c r="AB45" s="20">
        <f t="shared" si="10"/>
        <v>914.5061723130168</v>
      </c>
      <c r="AC45" s="20">
        <f t="shared" si="11"/>
        <v>1196.6099260025267</v>
      </c>
      <c r="AD45" s="20"/>
      <c r="AE45" s="15"/>
      <c r="AF45" s="15">
        <f t="shared" si="16"/>
        <v>1134.3765314065301</v>
      </c>
      <c r="AG45" s="15"/>
      <c r="AH45" s="15"/>
      <c r="AI45" s="15"/>
      <c r="AJ45" s="15"/>
      <c r="AK45" s="15"/>
      <c r="AL45" s="15"/>
      <c r="AM45" s="15"/>
      <c r="AN45" s="16"/>
    </row>
    <row r="46" spans="2:40" x14ac:dyDescent="0.3">
      <c r="B46" s="14"/>
      <c r="C46" s="15">
        <f t="shared" si="0"/>
        <v>1200</v>
      </c>
      <c r="D46" s="15">
        <f t="shared" si="12"/>
        <v>1473.15</v>
      </c>
      <c r="E46" s="20">
        <f t="shared" si="13"/>
        <v>1332.7543849744868</v>
      </c>
      <c r="F46" s="20">
        <f t="shared" si="1"/>
        <v>1054.5198144321482</v>
      </c>
      <c r="G46" s="20">
        <f t="shared" si="2"/>
        <v>743.00490266697636</v>
      </c>
      <c r="H46" s="20">
        <f t="shared" si="3"/>
        <v>766.9451491098672</v>
      </c>
      <c r="I46" s="20">
        <f t="shared" si="4"/>
        <v>1202.7145615871677</v>
      </c>
      <c r="J46" s="20">
        <f t="shared" si="5"/>
        <v>1340.7690283873369</v>
      </c>
      <c r="K46" s="15"/>
      <c r="L46" s="15">
        <f t="shared" si="6"/>
        <v>1151.2889124329231</v>
      </c>
      <c r="M46" s="15"/>
      <c r="N46" s="15"/>
      <c r="O46" s="15"/>
      <c r="P46" s="15"/>
      <c r="Q46" s="15"/>
      <c r="R46" s="15"/>
      <c r="S46" s="15"/>
      <c r="T46" s="16"/>
      <c r="V46" s="14"/>
      <c r="W46" s="15">
        <f t="shared" si="7"/>
        <v>1200</v>
      </c>
      <c r="X46" s="15">
        <f t="shared" si="14"/>
        <v>1473.15</v>
      </c>
      <c r="Y46" s="20">
        <f t="shared" si="15"/>
        <v>1332.7543849744868</v>
      </c>
      <c r="Z46" s="20">
        <f t="shared" si="8"/>
        <v>1054.5198144321482</v>
      </c>
      <c r="AA46" s="20">
        <f t="shared" si="9"/>
        <v>1257.849730246224</v>
      </c>
      <c r="AB46" s="20">
        <f t="shared" si="10"/>
        <v>923.89422259913226</v>
      </c>
      <c r="AC46" s="20">
        <f t="shared" si="11"/>
        <v>1202.7145615871677</v>
      </c>
      <c r="AD46" s="20"/>
      <c r="AE46" s="15"/>
      <c r="AF46" s="15">
        <f t="shared" si="16"/>
        <v>1141.5502083217939</v>
      </c>
      <c r="AG46" s="15"/>
      <c r="AH46" s="15"/>
      <c r="AI46" s="15"/>
      <c r="AJ46" s="15"/>
      <c r="AK46" s="15"/>
      <c r="AL46" s="15"/>
      <c r="AM46" s="15"/>
      <c r="AN46" s="16"/>
    </row>
    <row r="47" spans="2:40" x14ac:dyDescent="0.3">
      <c r="B47" s="14"/>
      <c r="C47" s="15">
        <f t="shared" si="0"/>
        <v>1250</v>
      </c>
      <c r="D47" s="15">
        <f t="shared" si="12"/>
        <v>1523.15</v>
      </c>
      <c r="E47" s="20">
        <f t="shared" si="13"/>
        <v>1338.1098003217767</v>
      </c>
      <c r="F47" s="20">
        <f t="shared" si="1"/>
        <v>1071.0938109512108</v>
      </c>
      <c r="G47" s="20">
        <f t="shared" si="2"/>
        <v>758.78432792030628</v>
      </c>
      <c r="H47" s="20">
        <f t="shared" si="3"/>
        <v>770.77203421447666</v>
      </c>
      <c r="I47" s="20">
        <f t="shared" si="4"/>
        <v>1208.9705481318799</v>
      </c>
      <c r="J47" s="20">
        <f t="shared" si="5"/>
        <v>1347.9763163673827</v>
      </c>
      <c r="K47" s="15"/>
      <c r="L47" s="15">
        <f t="shared" si="6"/>
        <v>1159.9211892699475</v>
      </c>
      <c r="M47" s="15"/>
      <c r="N47" s="15"/>
      <c r="O47" s="15"/>
      <c r="P47" s="15"/>
      <c r="Q47" s="15"/>
      <c r="R47" s="15"/>
      <c r="S47" s="15"/>
      <c r="T47" s="16"/>
      <c r="V47" s="14"/>
      <c r="W47" s="15">
        <f t="shared" si="7"/>
        <v>1250</v>
      </c>
      <c r="X47" s="15">
        <f t="shared" si="14"/>
        <v>1523.15</v>
      </c>
      <c r="Y47" s="20">
        <f t="shared" si="15"/>
        <v>1338.1098003217767</v>
      </c>
      <c r="Z47" s="20">
        <f t="shared" si="8"/>
        <v>1071.0938109512108</v>
      </c>
      <c r="AA47" s="20">
        <f t="shared" si="9"/>
        <v>1263.4993895327477</v>
      </c>
      <c r="AB47" s="20">
        <f t="shared" si="10"/>
        <v>933.54932043567942</v>
      </c>
      <c r="AC47" s="20">
        <f t="shared" si="11"/>
        <v>1208.9705481318799</v>
      </c>
      <c r="AD47" s="20"/>
      <c r="AE47" s="15"/>
      <c r="AF47" s="15">
        <f t="shared" si="16"/>
        <v>1148.7842294590778</v>
      </c>
      <c r="AG47" s="15"/>
      <c r="AH47" s="15"/>
      <c r="AI47" s="15"/>
      <c r="AJ47" s="15"/>
      <c r="AK47" s="15"/>
      <c r="AL47" s="15"/>
      <c r="AM47" s="15"/>
      <c r="AN47" s="16"/>
    </row>
    <row r="48" spans="2:40" x14ac:dyDescent="0.3">
      <c r="B48" s="14"/>
      <c r="C48" s="15">
        <f t="shared" si="0"/>
        <v>1300</v>
      </c>
      <c r="D48" s="15">
        <f t="shared" si="12"/>
        <v>1573.15</v>
      </c>
      <c r="E48" s="20">
        <f t="shared" si="13"/>
        <v>1342.7210583876024</v>
      </c>
      <c r="F48" s="20">
        <f t="shared" si="1"/>
        <v>1088.2208495169391</v>
      </c>
      <c r="G48" s="20">
        <f t="shared" si="2"/>
        <v>775.59580993090424</v>
      </c>
      <c r="H48" s="20">
        <f t="shared" si="3"/>
        <v>774.59886968138744</v>
      </c>
      <c r="I48" s="20">
        <f t="shared" si="4"/>
        <v>1215.4176303235417</v>
      </c>
      <c r="J48" s="20">
        <f t="shared" si="5"/>
        <v>1354.9245663895065</v>
      </c>
      <c r="K48" s="15"/>
      <c r="L48" s="15">
        <f t="shared" si="6"/>
        <v>1168.4118480901373</v>
      </c>
      <c r="M48" s="15"/>
      <c r="N48" s="15"/>
      <c r="O48" s="15"/>
      <c r="P48" s="15"/>
      <c r="Q48" s="15"/>
      <c r="R48" s="15"/>
      <c r="S48" s="15"/>
      <c r="T48" s="16"/>
      <c r="V48" s="14"/>
      <c r="W48" s="15">
        <f t="shared" si="7"/>
        <v>1300</v>
      </c>
      <c r="X48" s="15">
        <f t="shared" si="14"/>
        <v>1573.15</v>
      </c>
      <c r="Y48" s="20">
        <f t="shared" si="15"/>
        <v>1342.7210583876024</v>
      </c>
      <c r="Z48" s="20">
        <f t="shared" si="8"/>
        <v>1088.2208495169391</v>
      </c>
      <c r="AA48" s="20">
        <f t="shared" si="9"/>
        <v>1269.0924158356252</v>
      </c>
      <c r="AB48" s="20">
        <f t="shared" si="10"/>
        <v>943.49473024800989</v>
      </c>
      <c r="AC48" s="20">
        <f t="shared" si="11"/>
        <v>1215.4176303235417</v>
      </c>
      <c r="AD48" s="20"/>
      <c r="AE48" s="15"/>
      <c r="AF48" s="15">
        <f t="shared" si="16"/>
        <v>1156.1109617324605</v>
      </c>
      <c r="AG48" s="15"/>
      <c r="AH48" s="15"/>
      <c r="AI48" s="15"/>
      <c r="AJ48" s="15"/>
      <c r="AK48" s="15"/>
      <c r="AL48" s="15"/>
      <c r="AM48" s="15"/>
      <c r="AN48" s="16"/>
    </row>
    <row r="49" spans="2:40" x14ac:dyDescent="0.3">
      <c r="B49" s="14"/>
      <c r="C49" s="15"/>
      <c r="D49" s="15"/>
      <c r="E49" s="20"/>
      <c r="F49" s="20"/>
      <c r="G49" s="20"/>
      <c r="H49" s="20"/>
      <c r="I49" s="20"/>
      <c r="J49" s="20"/>
      <c r="K49" s="15"/>
      <c r="L49" s="15"/>
      <c r="M49" s="15"/>
      <c r="N49" s="15"/>
      <c r="O49" s="15"/>
      <c r="P49" s="15"/>
      <c r="Q49" s="15"/>
      <c r="R49" s="15"/>
      <c r="S49" s="15"/>
      <c r="T49" s="16"/>
      <c r="V49" s="14"/>
      <c r="W49" s="15"/>
      <c r="X49" s="15"/>
      <c r="Y49" s="20"/>
      <c r="Z49" s="20"/>
      <c r="AA49" s="20"/>
      <c r="AB49" s="20"/>
      <c r="AC49" s="20"/>
      <c r="AD49" s="20"/>
      <c r="AE49" s="15"/>
      <c r="AF49" s="15"/>
      <c r="AG49" s="15"/>
      <c r="AH49" s="15"/>
      <c r="AI49" s="15"/>
      <c r="AJ49" s="15"/>
      <c r="AK49" s="15"/>
      <c r="AL49" s="15"/>
      <c r="AM49" s="15"/>
      <c r="AN49" s="16"/>
    </row>
    <row r="50" spans="2:40" x14ac:dyDescent="0.3">
      <c r="B50" s="14"/>
      <c r="C50" s="15"/>
      <c r="D50" s="15"/>
      <c r="E50" s="20"/>
      <c r="F50" s="20"/>
      <c r="G50" s="20"/>
      <c r="H50" s="20"/>
      <c r="I50" s="20"/>
      <c r="J50" s="20"/>
      <c r="K50" s="15"/>
      <c r="L50" s="15"/>
      <c r="M50" s="15"/>
      <c r="N50" s="15"/>
      <c r="O50" s="15"/>
      <c r="P50" s="15"/>
      <c r="Q50" s="15"/>
      <c r="R50" s="15"/>
      <c r="S50" s="15"/>
      <c r="T50" s="16"/>
      <c r="V50" s="14"/>
      <c r="W50" s="15"/>
      <c r="X50" s="15"/>
      <c r="Y50" s="20"/>
      <c r="Z50" s="20"/>
      <c r="AA50" s="20"/>
      <c r="AB50" s="20"/>
      <c r="AC50" s="20"/>
      <c r="AD50" s="20"/>
      <c r="AE50" s="15"/>
      <c r="AF50" s="15"/>
      <c r="AG50" s="15"/>
      <c r="AH50" s="15"/>
      <c r="AI50" s="15"/>
      <c r="AJ50" s="15"/>
      <c r="AK50" s="15"/>
      <c r="AL50" s="15"/>
      <c r="AM50" s="15"/>
      <c r="AN50" s="16"/>
    </row>
    <row r="51" spans="2:40" x14ac:dyDescent="0.3"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6"/>
      <c r="V51" s="14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6"/>
    </row>
    <row r="52" spans="2:40" x14ac:dyDescent="0.3"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6"/>
      <c r="V52" s="14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6"/>
    </row>
    <row r="53" spans="2:40" x14ac:dyDescent="0.3">
      <c r="B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6"/>
      <c r="V53" s="14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6"/>
    </row>
    <row r="54" spans="2:40" x14ac:dyDescent="0.3">
      <c r="B54" s="14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6"/>
      <c r="V54" s="14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6"/>
    </row>
    <row r="55" spans="2:40" x14ac:dyDescent="0.3">
      <c r="B55" s="14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6"/>
      <c r="V55" s="14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6"/>
    </row>
    <row r="56" spans="2:40" x14ac:dyDescent="0.3">
      <c r="B56" s="14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6"/>
      <c r="V56" s="14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6"/>
    </row>
    <row r="57" spans="2:40" x14ac:dyDescent="0.3">
      <c r="B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6"/>
      <c r="V57" s="14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6"/>
    </row>
    <row r="58" spans="2:40" x14ac:dyDescent="0.3">
      <c r="B58" s="14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6"/>
      <c r="V58" s="14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6"/>
    </row>
    <row r="59" spans="2:40" x14ac:dyDescent="0.3">
      <c r="B59" s="14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6"/>
      <c r="V59" s="14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6"/>
    </row>
    <row r="60" spans="2:40" x14ac:dyDescent="0.3">
      <c r="B60" s="14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6"/>
      <c r="V60" s="14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6"/>
    </row>
    <row r="61" spans="2:40" x14ac:dyDescent="0.3">
      <c r="B61" s="14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6"/>
      <c r="V61" s="14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6"/>
    </row>
    <row r="62" spans="2:40" x14ac:dyDescent="0.3">
      <c r="B62" s="14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6"/>
      <c r="V62" s="14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6"/>
    </row>
    <row r="63" spans="2:40" x14ac:dyDescent="0.3">
      <c r="B63" s="14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6"/>
      <c r="V63" s="14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6"/>
    </row>
    <row r="64" spans="2:40" x14ac:dyDescent="0.3">
      <c r="B64" s="14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6"/>
      <c r="V64" s="14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6"/>
    </row>
    <row r="65" spans="2:40" x14ac:dyDescent="0.3">
      <c r="B65" s="14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6"/>
      <c r="V65" s="14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6"/>
    </row>
    <row r="66" spans="2:40" x14ac:dyDescent="0.3">
      <c r="B66" s="14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6"/>
      <c r="V66" s="14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6"/>
    </row>
    <row r="67" spans="2:40" x14ac:dyDescent="0.3">
      <c r="B67" s="14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6"/>
      <c r="V67" s="14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6"/>
    </row>
    <row r="68" spans="2:40" x14ac:dyDescent="0.3">
      <c r="B68" s="14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6"/>
      <c r="V68" s="14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6"/>
    </row>
    <row r="69" spans="2:40" x14ac:dyDescent="0.3">
      <c r="B69" s="14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6"/>
      <c r="V69" s="14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6"/>
    </row>
    <row r="70" spans="2:40" x14ac:dyDescent="0.3"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6"/>
      <c r="V70" s="14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6"/>
    </row>
    <row r="71" spans="2:40" x14ac:dyDescent="0.3">
      <c r="B71" s="14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6"/>
      <c r="V71" s="14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6"/>
    </row>
    <row r="72" spans="2:40" x14ac:dyDescent="0.3">
      <c r="B72" s="14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6"/>
      <c r="V72" s="14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6"/>
    </row>
    <row r="73" spans="2:40" x14ac:dyDescent="0.3">
      <c r="B73" s="14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6"/>
      <c r="V73" s="14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6"/>
    </row>
    <row r="74" spans="2:40" x14ac:dyDescent="0.3">
      <c r="B74" s="14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6"/>
      <c r="V74" s="14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6"/>
    </row>
    <row r="75" spans="2:40" x14ac:dyDescent="0.3">
      <c r="B75" s="14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6"/>
      <c r="V75" s="14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6"/>
    </row>
    <row r="76" spans="2:40" x14ac:dyDescent="0.3">
      <c r="B76" s="14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6"/>
      <c r="V76" s="14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6"/>
    </row>
    <row r="77" spans="2:40" x14ac:dyDescent="0.3">
      <c r="B77" s="14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6"/>
      <c r="V77" s="14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6"/>
    </row>
    <row r="78" spans="2:40" ht="15" thickBot="1" x14ac:dyDescent="0.35">
      <c r="B78" s="22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4"/>
      <c r="V78" s="22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4"/>
    </row>
  </sheetData>
  <mergeCells count="2">
    <mergeCell ref="B5:T5"/>
    <mergeCell ref="V5:AN5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0450E-B9A0-4F6C-B9D8-0E3D18F3442A}">
  <dimension ref="B3:BJ650"/>
  <sheetViews>
    <sheetView zoomScale="115" zoomScaleNormal="115" workbookViewId="0">
      <selection activeCell="J27" sqref="J27"/>
    </sheetView>
  </sheetViews>
  <sheetFormatPr baseColWidth="10" defaultRowHeight="14.4" x14ac:dyDescent="0.3"/>
  <cols>
    <col min="2" max="2" width="7.88671875" customWidth="1"/>
    <col min="3" max="4" width="16.33203125" bestFit="1" customWidth="1"/>
    <col min="6" max="6" width="9.77734375" customWidth="1"/>
    <col min="7" max="7" width="15.88671875" bestFit="1" customWidth="1"/>
    <col min="8" max="8" width="15.33203125" bestFit="1" customWidth="1"/>
    <col min="9" max="9" width="13.77734375" bestFit="1" customWidth="1"/>
    <col min="10" max="10" width="13.88671875" customWidth="1"/>
    <col min="11" max="11" width="21.21875" bestFit="1" customWidth="1"/>
    <col min="12" max="12" width="13.6640625" customWidth="1"/>
    <col min="13" max="13" width="12.33203125" customWidth="1"/>
    <col min="14" max="15" width="10.77734375" customWidth="1"/>
    <col min="16" max="16" width="14" customWidth="1"/>
    <col min="17" max="18" width="10.77734375" customWidth="1"/>
    <col min="19" max="19" width="13.44140625" customWidth="1"/>
    <col min="20" max="20" width="10.77734375" customWidth="1"/>
    <col min="21" max="21" width="16.44140625" customWidth="1"/>
    <col min="23" max="23" width="18.77734375" customWidth="1"/>
  </cols>
  <sheetData>
    <row r="3" spans="2:48" x14ac:dyDescent="0.3">
      <c r="B3" t="s">
        <v>108</v>
      </c>
      <c r="F3" t="s">
        <v>39</v>
      </c>
    </row>
    <row r="4" spans="2:48" x14ac:dyDescent="0.3">
      <c r="B4" t="s">
        <v>109</v>
      </c>
      <c r="F4" t="s">
        <v>40</v>
      </c>
      <c r="G4">
        <v>510</v>
      </c>
      <c r="K4" s="3"/>
    </row>
    <row r="5" spans="2:48" x14ac:dyDescent="0.3">
      <c r="K5" s="3"/>
    </row>
    <row r="6" spans="2:48" ht="15" thickBot="1" x14ac:dyDescent="0.35">
      <c r="B6" t="s">
        <v>110</v>
      </c>
      <c r="F6" t="s">
        <v>111</v>
      </c>
    </row>
    <row r="7" spans="2:48" ht="18" x14ac:dyDescent="0.3">
      <c r="K7" s="52" t="s">
        <v>43</v>
      </c>
      <c r="L7" s="41"/>
      <c r="M7" s="41"/>
      <c r="N7" s="41"/>
      <c r="O7" s="41"/>
      <c r="P7" s="41"/>
      <c r="Q7" s="41"/>
      <c r="R7" s="41"/>
      <c r="S7" s="25"/>
      <c r="T7" s="25"/>
      <c r="U7" s="13"/>
    </row>
    <row r="8" spans="2:48" ht="15" thickBot="1" x14ac:dyDescent="0.35">
      <c r="K8" s="26"/>
      <c r="L8" s="27"/>
      <c r="M8" s="27"/>
      <c r="N8" s="27"/>
      <c r="O8" s="27"/>
      <c r="P8" s="27"/>
      <c r="Q8" s="27"/>
      <c r="R8" s="27"/>
      <c r="S8" s="15"/>
      <c r="T8" s="15"/>
      <c r="U8" s="16"/>
    </row>
    <row r="9" spans="2:48" ht="16.8" x14ac:dyDescent="0.35">
      <c r="B9" s="40" t="s">
        <v>41</v>
      </c>
      <c r="C9" s="53" t="s">
        <v>112</v>
      </c>
      <c r="D9" s="54" t="s">
        <v>112</v>
      </c>
      <c r="F9" s="40" t="s">
        <v>41</v>
      </c>
      <c r="G9" s="53" t="s">
        <v>113</v>
      </c>
      <c r="H9" s="53" t="s">
        <v>114</v>
      </c>
      <c r="I9" s="54" t="s">
        <v>115</v>
      </c>
      <c r="K9" s="55" t="s">
        <v>41</v>
      </c>
      <c r="L9" s="35" t="s">
        <v>116</v>
      </c>
      <c r="M9" s="35" t="s">
        <v>117</v>
      </c>
      <c r="N9" s="56" t="s">
        <v>118</v>
      </c>
      <c r="O9" s="35" t="s">
        <v>119</v>
      </c>
      <c r="P9" s="35" t="s">
        <v>120</v>
      </c>
      <c r="Q9" s="35" t="s">
        <v>121</v>
      </c>
      <c r="R9" s="35" t="s">
        <v>122</v>
      </c>
      <c r="S9" s="35" t="s">
        <v>123</v>
      </c>
      <c r="T9" s="35" t="s">
        <v>124</v>
      </c>
      <c r="U9" s="51" t="s">
        <v>125</v>
      </c>
    </row>
    <row r="10" spans="2:48" x14ac:dyDescent="0.3">
      <c r="B10" s="14">
        <v>0</v>
      </c>
      <c r="C10" s="15">
        <v>276</v>
      </c>
      <c r="D10" s="16">
        <v>197</v>
      </c>
      <c r="F10" s="14">
        <v>0.05</v>
      </c>
      <c r="G10" s="15">
        <f t="shared" ref="G10:G41" si="0">$G$4/(F10^(1/2))</f>
        <v>2280.7893370497854</v>
      </c>
      <c r="H10" s="15">
        <f>231.33*EXP(-0.091*F10)</f>
        <v>230.27983942704864</v>
      </c>
      <c r="I10" s="16">
        <f>G10-H10</f>
        <v>2050.5094976227369</v>
      </c>
      <c r="K10" s="26">
        <v>0.05</v>
      </c>
      <c r="L10" s="27">
        <f>H10</f>
        <v>230.27983942704864</v>
      </c>
      <c r="M10" s="15">
        <f>I10</f>
        <v>2050.5094976227369</v>
      </c>
      <c r="N10" s="27">
        <v>0.1</v>
      </c>
      <c r="O10" s="27">
        <v>22723</v>
      </c>
      <c r="P10" s="27">
        <v>83.5</v>
      </c>
      <c r="Q10" s="44">
        <f>O10*P10*N10*1000</f>
        <v>189737050.00000003</v>
      </c>
      <c r="R10" s="44">
        <f t="shared" ref="R10:R29" si="1">Q10*L10/1000000000000</f>
        <v>4.3692617407361911E-2</v>
      </c>
      <c r="S10" s="44">
        <f>R10</f>
        <v>4.3692617407361911E-2</v>
      </c>
      <c r="T10" s="18">
        <f>Q10*M10/1000000000000</f>
        <v>0.38905762307592018</v>
      </c>
      <c r="U10" s="57">
        <f>T10</f>
        <v>0.38905762307592018</v>
      </c>
      <c r="AB10" s="8"/>
      <c r="AC10" s="8"/>
      <c r="AH10" s="3"/>
      <c r="AI10" s="3"/>
      <c r="AJ10" s="3"/>
      <c r="AK10" s="3"/>
      <c r="AL10" s="3"/>
      <c r="AV10" s="3"/>
    </row>
    <row r="11" spans="2:48" x14ac:dyDescent="0.3">
      <c r="B11" s="14">
        <v>2.5</v>
      </c>
      <c r="C11" s="15">
        <v>276</v>
      </c>
      <c r="D11" s="16">
        <v>197</v>
      </c>
      <c r="F11" s="14">
        <v>0.15</v>
      </c>
      <c r="G11" s="15">
        <f t="shared" si="0"/>
        <v>1316.8143377105216</v>
      </c>
      <c r="H11" s="15">
        <f t="shared" ref="H11:H29" si="2">231.33*EXP(-0.091*F11)</f>
        <v>228.19379876865719</v>
      </c>
      <c r="I11" s="16">
        <f t="shared" ref="I11:I29" si="3">G11-H11</f>
        <v>1088.6205389418644</v>
      </c>
      <c r="K11" s="26">
        <v>0.15</v>
      </c>
      <c r="L11" s="27">
        <f t="shared" ref="L11:M29" si="4">H11</f>
        <v>228.19379876865719</v>
      </c>
      <c r="M11" s="15">
        <f t="shared" si="4"/>
        <v>1088.6205389418644</v>
      </c>
      <c r="N11" s="27">
        <v>0.1</v>
      </c>
      <c r="O11" s="27">
        <v>22723</v>
      </c>
      <c r="P11" s="27">
        <v>83.5</v>
      </c>
      <c r="Q11" s="44">
        <f t="shared" ref="Q11:Q29" si="5">O11*P11*N11*1000</f>
        <v>189737050.00000003</v>
      </c>
      <c r="R11" s="44">
        <f t="shared" si="1"/>
        <v>4.3296818206658656E-2</v>
      </c>
      <c r="S11" s="44">
        <f>S10+R11</f>
        <v>8.698943561402056E-2</v>
      </c>
      <c r="T11" s="18">
        <f>Q11*M11/1000000000000</f>
        <v>0.20655164962823949</v>
      </c>
      <c r="U11" s="57">
        <f>U10+T11</f>
        <v>0.59560927270415964</v>
      </c>
      <c r="AB11" s="8"/>
      <c r="AC11" s="8"/>
      <c r="AH11" s="3"/>
      <c r="AI11" s="3"/>
      <c r="AJ11" s="3"/>
      <c r="AL11" s="3"/>
      <c r="AV11" s="3"/>
    </row>
    <row r="12" spans="2:48" x14ac:dyDescent="0.3">
      <c r="B12" s="14">
        <v>2.5</v>
      </c>
      <c r="C12" s="15">
        <v>192</v>
      </c>
      <c r="D12" s="16">
        <v>215</v>
      </c>
      <c r="F12" s="14">
        <v>0.25</v>
      </c>
      <c r="G12" s="15">
        <f t="shared" si="0"/>
        <v>1020</v>
      </c>
      <c r="H12" s="15">
        <f t="shared" si="2"/>
        <v>226.12665496914536</v>
      </c>
      <c r="I12" s="16">
        <f t="shared" si="3"/>
        <v>793.87334503085458</v>
      </c>
      <c r="K12" s="26">
        <v>0.25</v>
      </c>
      <c r="L12" s="27">
        <f t="shared" si="4"/>
        <v>226.12665496914536</v>
      </c>
      <c r="M12" s="15">
        <f t="shared" si="4"/>
        <v>793.87334503085458</v>
      </c>
      <c r="N12" s="27">
        <v>0.1</v>
      </c>
      <c r="O12" s="27">
        <v>22723</v>
      </c>
      <c r="P12" s="27">
        <v>83.5</v>
      </c>
      <c r="Q12" s="44">
        <f t="shared" si="5"/>
        <v>189737050.00000003</v>
      </c>
      <c r="R12" s="44">
        <f t="shared" si="1"/>
        <v>4.2904604440213483E-2</v>
      </c>
      <c r="S12" s="44">
        <f t="shared" ref="S12:S29" si="6">S11+R12</f>
        <v>0.12989404005423405</v>
      </c>
      <c r="T12" s="18">
        <f t="shared" ref="T12:T29" si="7">Q12*M12/1000000000000</f>
        <v>0.15062718655978652</v>
      </c>
      <c r="U12" s="57">
        <f t="shared" ref="U12:U29" si="8">U11+T12</f>
        <v>0.74623645926394611</v>
      </c>
      <c r="AB12" s="8"/>
      <c r="AC12" s="8"/>
      <c r="AH12" s="3"/>
      <c r="AI12" s="3"/>
      <c r="AJ12" s="3"/>
      <c r="AL12" s="3"/>
      <c r="AV12" s="3"/>
    </row>
    <row r="13" spans="2:48" x14ac:dyDescent="0.3">
      <c r="B13" s="14">
        <v>5</v>
      </c>
      <c r="C13" s="15">
        <v>192</v>
      </c>
      <c r="D13" s="16">
        <v>215</v>
      </c>
      <c r="F13" s="14">
        <v>0.35</v>
      </c>
      <c r="G13" s="15">
        <f t="shared" si="0"/>
        <v>862.05733982308698</v>
      </c>
      <c r="H13" s="15">
        <f t="shared" si="2"/>
        <v>224.07823684715373</v>
      </c>
      <c r="I13" s="16">
        <f t="shared" si="3"/>
        <v>637.9791029759333</v>
      </c>
      <c r="K13" s="26">
        <v>0.35</v>
      </c>
      <c r="L13" s="27">
        <f t="shared" si="4"/>
        <v>224.07823684715373</v>
      </c>
      <c r="M13" s="15">
        <f t="shared" si="4"/>
        <v>637.9791029759333</v>
      </c>
      <c r="N13" s="27">
        <v>0.1</v>
      </c>
      <c r="O13" s="27">
        <v>22723</v>
      </c>
      <c r="P13" s="27">
        <v>83.5</v>
      </c>
      <c r="Q13" s="44">
        <f t="shared" si="5"/>
        <v>189737050.00000003</v>
      </c>
      <c r="R13" s="44">
        <f t="shared" si="1"/>
        <v>4.2515943628580251E-2</v>
      </c>
      <c r="S13" s="44">
        <f t="shared" si="6"/>
        <v>0.17240998368281429</v>
      </c>
      <c r="T13" s="18">
        <f t="shared" si="7"/>
        <v>0.12104827296029982</v>
      </c>
      <c r="U13" s="57">
        <f t="shared" si="8"/>
        <v>0.86728473222424596</v>
      </c>
      <c r="AB13" s="8"/>
      <c r="AC13" s="8"/>
      <c r="AH13" s="3"/>
      <c r="AI13" s="3"/>
      <c r="AJ13" s="3"/>
      <c r="AL13" s="3"/>
      <c r="AV13" s="3"/>
    </row>
    <row r="14" spans="2:48" x14ac:dyDescent="0.3">
      <c r="B14" s="14">
        <v>5</v>
      </c>
      <c r="C14" s="15">
        <v>145</v>
      </c>
      <c r="D14" s="16">
        <v>110</v>
      </c>
      <c r="F14" s="14">
        <v>0.45</v>
      </c>
      <c r="G14" s="15">
        <f t="shared" si="0"/>
        <v>760.26311234992852</v>
      </c>
      <c r="H14" s="15">
        <f t="shared" si="2"/>
        <v>222.04837477200709</v>
      </c>
      <c r="I14" s="16">
        <f t="shared" si="3"/>
        <v>538.21473757792137</v>
      </c>
      <c r="K14" s="26">
        <v>0.45</v>
      </c>
      <c r="L14" s="27">
        <f t="shared" si="4"/>
        <v>222.04837477200709</v>
      </c>
      <c r="M14" s="15">
        <f t="shared" si="4"/>
        <v>538.21473757792137</v>
      </c>
      <c r="N14" s="27">
        <v>0.1</v>
      </c>
      <c r="O14" s="27">
        <v>22723</v>
      </c>
      <c r="P14" s="27">
        <v>83.5</v>
      </c>
      <c r="Q14" s="44">
        <f t="shared" si="5"/>
        <v>189737050.00000003</v>
      </c>
      <c r="R14" s="44">
        <f t="shared" si="1"/>
        <v>4.2130803586535058E-2</v>
      </c>
      <c r="S14" s="44">
        <f t="shared" si="6"/>
        <v>0.21454078726934936</v>
      </c>
      <c r="T14" s="18">
        <f t="shared" si="7"/>
        <v>0.10211927657455896</v>
      </c>
      <c r="U14" s="57">
        <f t="shared" si="8"/>
        <v>0.96940400879880495</v>
      </c>
      <c r="AB14" s="8"/>
      <c r="AC14" s="8"/>
      <c r="AH14" s="3"/>
      <c r="AI14" s="3"/>
      <c r="AJ14" s="3"/>
      <c r="AL14" s="3"/>
      <c r="AV14" s="3"/>
    </row>
    <row r="15" spans="2:48" x14ac:dyDescent="0.3">
      <c r="B15" s="14">
        <v>7.5</v>
      </c>
      <c r="C15" s="15">
        <v>145</v>
      </c>
      <c r="D15" s="16">
        <v>110</v>
      </c>
      <c r="F15" s="14">
        <v>0.55000000000000004</v>
      </c>
      <c r="G15" s="15">
        <f t="shared" si="0"/>
        <v>687.68385971250689</v>
      </c>
      <c r="H15" s="15">
        <f t="shared" si="2"/>
        <v>220.03690064966699</v>
      </c>
      <c r="I15" s="16">
        <f t="shared" si="3"/>
        <v>467.64695906283987</v>
      </c>
      <c r="K15" s="26">
        <v>0.55000000000000004</v>
      </c>
      <c r="L15" s="27">
        <f t="shared" si="4"/>
        <v>220.03690064966699</v>
      </c>
      <c r="M15" s="15">
        <f t="shared" si="4"/>
        <v>467.64695906283987</v>
      </c>
      <c r="N15" s="27">
        <v>0.1</v>
      </c>
      <c r="O15" s="27">
        <v>22723</v>
      </c>
      <c r="P15" s="27">
        <v>83.5</v>
      </c>
      <c r="Q15" s="44">
        <f t="shared" si="5"/>
        <v>189737050.00000003</v>
      </c>
      <c r="R15" s="44">
        <f t="shared" si="1"/>
        <v>4.1749152420410905E-2</v>
      </c>
      <c r="S15" s="44">
        <f t="shared" si="6"/>
        <v>0.25628993968976027</v>
      </c>
      <c r="T15" s="18">
        <f t="shared" si="7"/>
        <v>8.8729954454054016E-2</v>
      </c>
      <c r="U15" s="57">
        <f t="shared" si="8"/>
        <v>1.058133963252859</v>
      </c>
      <c r="AB15" s="8"/>
      <c r="AC15" s="8"/>
      <c r="AH15" s="3"/>
      <c r="AI15" s="3"/>
      <c r="AJ15" s="3"/>
      <c r="AL15" s="3"/>
      <c r="AV15" s="3"/>
    </row>
    <row r="16" spans="2:48" x14ac:dyDescent="0.3">
      <c r="B16" s="14">
        <v>7.5</v>
      </c>
      <c r="C16" s="15">
        <v>85</v>
      </c>
      <c r="D16" s="16">
        <v>98.7</v>
      </c>
      <c r="F16" s="14">
        <v>0.65</v>
      </c>
      <c r="G16" s="15">
        <f t="shared" si="0"/>
        <v>632.57714640496306</v>
      </c>
      <c r="H16" s="15">
        <f t="shared" si="2"/>
        <v>218.04364790881186</v>
      </c>
      <c r="I16" s="16">
        <f t="shared" si="3"/>
        <v>414.5334984961512</v>
      </c>
      <c r="K16" s="26">
        <v>0.65</v>
      </c>
      <c r="L16" s="27">
        <f t="shared" si="4"/>
        <v>218.04364790881186</v>
      </c>
      <c r="M16" s="15">
        <f t="shared" si="4"/>
        <v>414.5334984961512</v>
      </c>
      <c r="N16" s="27">
        <v>0.1</v>
      </c>
      <c r="O16" s="27">
        <v>22723</v>
      </c>
      <c r="P16" s="27">
        <v>83.5</v>
      </c>
      <c r="Q16" s="44">
        <f t="shared" si="5"/>
        <v>189737050.00000003</v>
      </c>
      <c r="R16" s="44">
        <f t="shared" si="1"/>
        <v>4.1370958525456643E-2</v>
      </c>
      <c r="S16" s="44">
        <f t="shared" si="6"/>
        <v>0.29766089821521691</v>
      </c>
      <c r="T16" s="18">
        <f t="shared" si="7"/>
        <v>7.8652363130839176E-2</v>
      </c>
      <c r="U16" s="57">
        <f t="shared" si="8"/>
        <v>1.1367863263836981</v>
      </c>
      <c r="AB16" s="8"/>
      <c r="AC16" s="8"/>
      <c r="AH16" s="3"/>
      <c r="AI16" s="3"/>
      <c r="AJ16" s="3"/>
      <c r="AL16" s="3"/>
      <c r="AV16" s="3"/>
    </row>
    <row r="17" spans="2:48" x14ac:dyDescent="0.3">
      <c r="B17" s="14">
        <v>10</v>
      </c>
      <c r="C17" s="15">
        <v>85</v>
      </c>
      <c r="D17" s="16">
        <v>98.7</v>
      </c>
      <c r="F17" s="14">
        <v>0.75</v>
      </c>
      <c r="G17" s="15">
        <f t="shared" si="0"/>
        <v>588.89727457341826</v>
      </c>
      <c r="H17" s="15">
        <f t="shared" si="2"/>
        <v>216.06845148704326</v>
      </c>
      <c r="I17" s="16">
        <f t="shared" si="3"/>
        <v>372.828823086375</v>
      </c>
      <c r="K17" s="26">
        <v>0.75</v>
      </c>
      <c r="L17" s="27">
        <f t="shared" si="4"/>
        <v>216.06845148704326</v>
      </c>
      <c r="M17" s="15">
        <f t="shared" si="4"/>
        <v>372.828823086375</v>
      </c>
      <c r="N17" s="27">
        <v>0.1</v>
      </c>
      <c r="O17" s="27">
        <v>22723</v>
      </c>
      <c r="P17" s="27">
        <v>83.5</v>
      </c>
      <c r="Q17" s="44">
        <f t="shared" si="5"/>
        <v>189737050.00000003</v>
      </c>
      <c r="R17" s="44">
        <f t="shared" si="1"/>
        <v>4.099619058321971E-2</v>
      </c>
      <c r="S17" s="44">
        <f t="shared" si="6"/>
        <v>0.33865708879843659</v>
      </c>
      <c r="T17" s="18">
        <f t="shared" si="7"/>
        <v>7.0739441047380697E-2</v>
      </c>
      <c r="U17" s="57">
        <f t="shared" si="8"/>
        <v>1.2075257674310789</v>
      </c>
      <c r="AB17" s="8"/>
      <c r="AC17" s="8"/>
      <c r="AH17" s="3"/>
      <c r="AI17" s="3"/>
      <c r="AJ17" s="3"/>
      <c r="AL17" s="3"/>
      <c r="AV17" s="3"/>
    </row>
    <row r="18" spans="2:48" x14ac:dyDescent="0.3">
      <c r="B18" s="14">
        <v>10</v>
      </c>
      <c r="C18" s="15">
        <v>78.7</v>
      </c>
      <c r="D18" s="16">
        <v>103</v>
      </c>
      <c r="F18" s="14">
        <v>0.85</v>
      </c>
      <c r="G18" s="15">
        <f t="shared" si="0"/>
        <v>553.17266743757318</v>
      </c>
      <c r="H18" s="15">
        <f t="shared" si="2"/>
        <v>214.11114781721662</v>
      </c>
      <c r="I18" s="16">
        <f t="shared" si="3"/>
        <v>339.06151962035653</v>
      </c>
      <c r="K18" s="26">
        <v>0.85</v>
      </c>
      <c r="L18" s="27">
        <f t="shared" si="4"/>
        <v>214.11114781721662</v>
      </c>
      <c r="M18" s="15">
        <f t="shared" si="4"/>
        <v>339.06151962035653</v>
      </c>
      <c r="N18" s="27">
        <v>0.1</v>
      </c>
      <c r="O18" s="27">
        <v>22723</v>
      </c>
      <c r="P18" s="27">
        <v>83.5</v>
      </c>
      <c r="Q18" s="44">
        <f t="shared" si="5"/>
        <v>189737050.00000003</v>
      </c>
      <c r="R18" s="44">
        <f t="shared" si="1"/>
        <v>4.0624817558952628E-2</v>
      </c>
      <c r="S18" s="44">
        <f t="shared" si="6"/>
        <v>0.37928190635738923</v>
      </c>
      <c r="T18" s="18">
        <f t="shared" si="7"/>
        <v>6.4332532501283582E-2</v>
      </c>
      <c r="U18" s="57">
        <f t="shared" si="8"/>
        <v>1.2718582999323624</v>
      </c>
      <c r="AB18" s="8"/>
      <c r="AC18" s="8"/>
      <c r="AH18" s="3"/>
      <c r="AI18" s="3"/>
      <c r="AJ18" s="3"/>
      <c r="AL18" s="3"/>
      <c r="AV18" s="3"/>
    </row>
    <row r="19" spans="2:48" x14ac:dyDescent="0.3">
      <c r="B19" s="14">
        <v>12.5</v>
      </c>
      <c r="C19" s="15">
        <v>78.7</v>
      </c>
      <c r="D19" s="16">
        <v>103</v>
      </c>
      <c r="F19" s="14">
        <v>0.95</v>
      </c>
      <c r="G19" s="15">
        <f t="shared" si="0"/>
        <v>523.24895956342857</v>
      </c>
      <c r="H19" s="15">
        <f t="shared" si="2"/>
        <v>212.1715748138966</v>
      </c>
      <c r="I19" s="16">
        <f t="shared" si="3"/>
        <v>311.07738474953197</v>
      </c>
      <c r="K19" s="26">
        <v>0.95</v>
      </c>
      <c r="L19" s="27">
        <f t="shared" si="4"/>
        <v>212.1715748138966</v>
      </c>
      <c r="M19" s="15">
        <f t="shared" si="4"/>
        <v>311.07738474953197</v>
      </c>
      <c r="N19" s="27">
        <v>0.1</v>
      </c>
      <c r="O19" s="27">
        <v>22723</v>
      </c>
      <c r="P19" s="27">
        <v>83.5</v>
      </c>
      <c r="Q19" s="44">
        <f t="shared" si="5"/>
        <v>189737050.00000003</v>
      </c>
      <c r="R19" s="44">
        <f t="shared" si="1"/>
        <v>4.0256808699043044E-2</v>
      </c>
      <c r="S19" s="44">
        <f t="shared" si="6"/>
        <v>0.41953871505643225</v>
      </c>
      <c r="T19" s="18">
        <f t="shared" si="7"/>
        <v>5.9022905304091197E-2</v>
      </c>
      <c r="U19" s="57">
        <f t="shared" si="8"/>
        <v>1.3308812052364536</v>
      </c>
      <c r="AB19" s="8"/>
      <c r="AC19" s="8"/>
      <c r="AH19" s="3"/>
      <c r="AI19" s="3"/>
      <c r="AJ19" s="3"/>
      <c r="AL19" s="3"/>
      <c r="AV19" s="3"/>
    </row>
    <row r="20" spans="2:48" x14ac:dyDescent="0.3">
      <c r="B20" s="14">
        <v>12.5</v>
      </c>
      <c r="C20" s="15">
        <v>75.400000000000006</v>
      </c>
      <c r="D20" s="16">
        <v>89</v>
      </c>
      <c r="F20" s="14">
        <v>1.05</v>
      </c>
      <c r="G20" s="15">
        <f t="shared" si="0"/>
        <v>497.7090372037519</v>
      </c>
      <c r="H20" s="15">
        <f t="shared" si="2"/>
        <v>210.24957185993443</v>
      </c>
      <c r="I20" s="16">
        <f t="shared" si="3"/>
        <v>287.45946534381744</v>
      </c>
      <c r="K20" s="26">
        <v>1.05</v>
      </c>
      <c r="L20" s="27">
        <f t="shared" si="4"/>
        <v>210.24957185993443</v>
      </c>
      <c r="M20" s="15">
        <f t="shared" si="4"/>
        <v>287.45946534381744</v>
      </c>
      <c r="N20" s="27">
        <v>0.1</v>
      </c>
      <c r="O20" s="27">
        <v>22723</v>
      </c>
      <c r="P20" s="27">
        <v>83.5</v>
      </c>
      <c r="Q20" s="44">
        <f t="shared" si="5"/>
        <v>189737050.00000003</v>
      </c>
      <c r="R20" s="44">
        <f t="shared" si="1"/>
        <v>3.9892133528466982E-2</v>
      </c>
      <c r="S20" s="44">
        <f t="shared" si="6"/>
        <v>0.45943084858489924</v>
      </c>
      <c r="T20" s="18">
        <f t="shared" si="7"/>
        <v>5.4541710948913164E-2</v>
      </c>
      <c r="U20" s="57">
        <f t="shared" si="8"/>
        <v>1.3854229161853668</v>
      </c>
      <c r="AB20" s="8"/>
      <c r="AC20" s="8"/>
      <c r="AH20" s="3"/>
      <c r="AI20" s="3"/>
      <c r="AJ20" s="3"/>
      <c r="AL20" s="3"/>
      <c r="AV20" s="3"/>
    </row>
    <row r="21" spans="2:48" x14ac:dyDescent="0.3">
      <c r="B21" s="14">
        <v>15</v>
      </c>
      <c r="C21" s="15">
        <v>75.400000000000006</v>
      </c>
      <c r="D21" s="16">
        <v>89</v>
      </c>
      <c r="F21" s="14">
        <v>1.1499999999999999</v>
      </c>
      <c r="G21" s="15">
        <f t="shared" si="0"/>
        <v>475.57745220255998</v>
      </c>
      <c r="H21" s="15">
        <f t="shared" si="2"/>
        <v>208.34497979316708</v>
      </c>
      <c r="I21" s="16">
        <f t="shared" si="3"/>
        <v>267.23247240939293</v>
      </c>
      <c r="K21" s="26">
        <v>1.1499999999999999</v>
      </c>
      <c r="L21" s="27">
        <f t="shared" si="4"/>
        <v>208.34497979316708</v>
      </c>
      <c r="M21" s="15">
        <f t="shared" si="4"/>
        <v>267.23247240939293</v>
      </c>
      <c r="N21" s="27">
        <v>0.1</v>
      </c>
      <c r="O21" s="27">
        <v>22723</v>
      </c>
      <c r="P21" s="27">
        <v>83.5</v>
      </c>
      <c r="Q21" s="44">
        <f t="shared" si="5"/>
        <v>189737050.00000003</v>
      </c>
      <c r="R21" s="44">
        <f t="shared" si="1"/>
        <v>3.9530761848265136E-2</v>
      </c>
      <c r="S21" s="44">
        <f t="shared" si="6"/>
        <v>0.49896161043316439</v>
      </c>
      <c r="T21" s="18">
        <f t="shared" si="7"/>
        <v>5.0703900979164614E-2</v>
      </c>
      <c r="U21" s="57">
        <f t="shared" si="8"/>
        <v>1.4361268171645314</v>
      </c>
      <c r="AB21" s="8"/>
      <c r="AC21" s="8"/>
      <c r="AH21" s="3"/>
      <c r="AI21" s="3"/>
      <c r="AJ21" s="3"/>
      <c r="AL21" s="3"/>
      <c r="AV21" s="3"/>
    </row>
    <row r="22" spans="2:48" x14ac:dyDescent="0.3">
      <c r="B22" s="14">
        <v>15</v>
      </c>
      <c r="C22" s="15">
        <v>80</v>
      </c>
      <c r="D22" s="16">
        <v>100</v>
      </c>
      <c r="F22" s="14">
        <v>1.25</v>
      </c>
      <c r="G22" s="15">
        <f t="shared" si="0"/>
        <v>456.15786740995708</v>
      </c>
      <c r="H22" s="15">
        <f t="shared" si="2"/>
        <v>206.45764089323717</v>
      </c>
      <c r="I22" s="16">
        <f t="shared" si="3"/>
        <v>249.70022651671991</v>
      </c>
      <c r="K22" s="26">
        <v>1.25</v>
      </c>
      <c r="L22" s="27">
        <f t="shared" si="4"/>
        <v>206.45764089323717</v>
      </c>
      <c r="M22" s="15">
        <f t="shared" si="4"/>
        <v>249.70022651671991</v>
      </c>
      <c r="N22" s="27">
        <v>0.1</v>
      </c>
      <c r="O22" s="27">
        <v>22723</v>
      </c>
      <c r="P22" s="27">
        <v>83.5</v>
      </c>
      <c r="Q22" s="44">
        <f t="shared" si="5"/>
        <v>189737050.00000003</v>
      </c>
      <c r="R22" s="44">
        <f t="shared" si="1"/>
        <v>3.9172663733042193E-2</v>
      </c>
      <c r="S22" s="44">
        <f t="shared" si="6"/>
        <v>0.53813427416620663</v>
      </c>
      <c r="T22" s="18">
        <f t="shared" si="7"/>
        <v>4.7377384363614217E-2</v>
      </c>
      <c r="U22" s="57">
        <f t="shared" si="8"/>
        <v>1.4835042015281457</v>
      </c>
      <c r="AB22" s="8"/>
      <c r="AC22" s="8"/>
      <c r="AH22" s="3"/>
      <c r="AI22" s="3"/>
      <c r="AJ22" s="3"/>
      <c r="AL22" s="3"/>
      <c r="AV22" s="3"/>
    </row>
    <row r="23" spans="2:48" x14ac:dyDescent="0.3">
      <c r="B23" s="14">
        <v>17.5</v>
      </c>
      <c r="C23" s="15">
        <v>80</v>
      </c>
      <c r="D23" s="16">
        <v>100</v>
      </c>
      <c r="F23" s="14">
        <v>1.35</v>
      </c>
      <c r="G23" s="15">
        <f t="shared" si="0"/>
        <v>438.93811257017387</v>
      </c>
      <c r="H23" s="15">
        <f t="shared" si="2"/>
        <v>204.58739886853184</v>
      </c>
      <c r="I23" s="16">
        <f t="shared" si="3"/>
        <v>234.35071370164204</v>
      </c>
      <c r="K23" s="26">
        <v>1.35</v>
      </c>
      <c r="L23" s="27">
        <f t="shared" si="4"/>
        <v>204.58739886853184</v>
      </c>
      <c r="M23" s="15">
        <f t="shared" si="4"/>
        <v>234.35071370164204</v>
      </c>
      <c r="N23" s="27">
        <v>0.1</v>
      </c>
      <c r="O23" s="27">
        <v>22723</v>
      </c>
      <c r="P23" s="27">
        <v>83.5</v>
      </c>
      <c r="Q23" s="44">
        <f t="shared" si="5"/>
        <v>189737050.00000003</v>
      </c>
      <c r="R23" s="44">
        <f t="shared" si="1"/>
        <v>3.8817809528488574E-2</v>
      </c>
      <c r="S23" s="44">
        <f t="shared" si="6"/>
        <v>0.57695208369469519</v>
      </c>
      <c r="T23" s="18">
        <f t="shared" si="7"/>
        <v>4.4465013083144149E-2</v>
      </c>
      <c r="U23" s="57">
        <f t="shared" si="8"/>
        <v>1.5279692146112898</v>
      </c>
      <c r="AB23" s="8"/>
      <c r="AC23" s="8"/>
      <c r="AH23" s="3"/>
      <c r="AI23" s="3"/>
      <c r="AJ23" s="3"/>
      <c r="AL23" s="3"/>
      <c r="AV23" s="3"/>
    </row>
    <row r="24" spans="2:48" x14ac:dyDescent="0.3">
      <c r="B24" s="14">
        <v>17.5</v>
      </c>
      <c r="C24" s="15">
        <v>75.2</v>
      </c>
      <c r="D24" s="16">
        <v>86.8</v>
      </c>
      <c r="F24" s="14">
        <v>1.45</v>
      </c>
      <c r="G24" s="15">
        <f t="shared" si="0"/>
        <v>423.53194725407383</v>
      </c>
      <c r="H24" s="15">
        <f t="shared" si="2"/>
        <v>202.73409884324019</v>
      </c>
      <c r="I24" s="16">
        <f t="shared" si="3"/>
        <v>220.79784841083364</v>
      </c>
      <c r="K24" s="26">
        <v>1.45</v>
      </c>
      <c r="L24" s="27">
        <f t="shared" si="4"/>
        <v>202.73409884324019</v>
      </c>
      <c r="M24" s="15">
        <f t="shared" si="4"/>
        <v>220.79784841083364</v>
      </c>
      <c r="N24" s="27">
        <v>0.1</v>
      </c>
      <c r="O24" s="27">
        <v>22723</v>
      </c>
      <c r="P24" s="27">
        <v>83.5</v>
      </c>
      <c r="Q24" s="44">
        <f t="shared" si="5"/>
        <v>189737050.00000003</v>
      </c>
      <c r="R24" s="44">
        <f t="shared" si="1"/>
        <v>3.8466169848924814E-2</v>
      </c>
      <c r="S24" s="44">
        <f t="shared" si="6"/>
        <v>0.61541825354362001</v>
      </c>
      <c r="T24" s="18">
        <f t="shared" si="7"/>
        <v>4.1893532403818774E-2</v>
      </c>
      <c r="U24" s="57">
        <f t="shared" si="8"/>
        <v>1.5698627470151085</v>
      </c>
      <c r="AB24" s="8"/>
      <c r="AC24" s="8"/>
      <c r="AH24" s="3"/>
      <c r="AI24" s="3"/>
      <c r="AJ24" s="3"/>
      <c r="AL24" s="3"/>
      <c r="AV24" s="3"/>
    </row>
    <row r="25" spans="2:48" x14ac:dyDescent="0.3">
      <c r="B25" s="14">
        <v>20</v>
      </c>
      <c r="C25" s="15">
        <v>75.2</v>
      </c>
      <c r="D25" s="16">
        <v>86.8</v>
      </c>
      <c r="F25" s="14">
        <v>1.55</v>
      </c>
      <c r="G25" s="15">
        <f t="shared" si="0"/>
        <v>409.64185774027442</v>
      </c>
      <c r="H25" s="15">
        <f t="shared" si="2"/>
        <v>200.89758734452812</v>
      </c>
      <c r="I25" s="16">
        <f t="shared" si="3"/>
        <v>208.7442703957463</v>
      </c>
      <c r="K25" s="26">
        <v>1.55</v>
      </c>
      <c r="L25" s="27">
        <f t="shared" si="4"/>
        <v>200.89758734452812</v>
      </c>
      <c r="M25" s="15">
        <f t="shared" si="4"/>
        <v>208.7442703957463</v>
      </c>
      <c r="N25" s="27">
        <v>0.1</v>
      </c>
      <c r="O25" s="27">
        <v>22723</v>
      </c>
      <c r="P25" s="27">
        <v>83.5</v>
      </c>
      <c r="Q25" s="44">
        <f t="shared" si="5"/>
        <v>189737050.00000003</v>
      </c>
      <c r="R25" s="44">
        <f t="shared" si="1"/>
        <v>3.8117715574868101E-2</v>
      </c>
      <c r="S25" s="44">
        <f t="shared" si="6"/>
        <v>0.6535359691184881</v>
      </c>
      <c r="T25" s="18">
        <f t="shared" si="7"/>
        <v>3.9606522069291245E-2</v>
      </c>
      <c r="U25" s="57">
        <f t="shared" si="8"/>
        <v>1.6094692690843997</v>
      </c>
      <c r="AB25" s="8"/>
      <c r="AC25" s="8"/>
      <c r="AH25" s="3"/>
      <c r="AI25" s="3"/>
      <c r="AJ25" s="3"/>
      <c r="AL25" s="3"/>
      <c r="AV25" s="3"/>
    </row>
    <row r="26" spans="2:48" x14ac:dyDescent="0.3">
      <c r="B26" s="14">
        <v>20</v>
      </c>
      <c r="C26" s="15">
        <v>54.2</v>
      </c>
      <c r="D26" s="16">
        <v>88.7</v>
      </c>
      <c r="F26" s="14">
        <v>1.65</v>
      </c>
      <c r="G26" s="15">
        <f t="shared" si="0"/>
        <v>397.03446152237672</v>
      </c>
      <c r="H26" s="15">
        <f t="shared" si="2"/>
        <v>199.0777122898289</v>
      </c>
      <c r="I26" s="16">
        <f t="shared" si="3"/>
        <v>197.95674923254782</v>
      </c>
      <c r="K26" s="26">
        <v>1.65</v>
      </c>
      <c r="L26" s="27">
        <f t="shared" si="4"/>
        <v>199.0777122898289</v>
      </c>
      <c r="M26" s="15">
        <f t="shared" si="4"/>
        <v>197.95674923254782</v>
      </c>
      <c r="N26" s="27">
        <v>0.1</v>
      </c>
      <c r="O26" s="27">
        <v>22723</v>
      </c>
      <c r="P26" s="27">
        <v>83.5</v>
      </c>
      <c r="Q26" s="44">
        <f t="shared" si="5"/>
        <v>189737050.00000003</v>
      </c>
      <c r="R26" s="44">
        <f t="shared" si="1"/>
        <v>3.7772417850620889E-2</v>
      </c>
      <c r="S26" s="44">
        <f t="shared" si="6"/>
        <v>0.69130838696910901</v>
      </c>
      <c r="T26" s="18">
        <f t="shared" si="7"/>
        <v>3.7559729626973397E-2</v>
      </c>
      <c r="U26" s="57">
        <f t="shared" si="8"/>
        <v>1.6470289987113731</v>
      </c>
      <c r="AB26" s="8"/>
      <c r="AC26" s="8"/>
      <c r="AH26" s="3"/>
      <c r="AI26" s="3"/>
      <c r="AJ26" s="3"/>
      <c r="AL26" s="3"/>
      <c r="AV26" s="3"/>
    </row>
    <row r="27" spans="2:48" x14ac:dyDescent="0.3">
      <c r="B27" s="14">
        <v>22.5</v>
      </c>
      <c r="C27" s="15">
        <v>54.2</v>
      </c>
      <c r="D27" s="16">
        <v>88.7</v>
      </c>
      <c r="F27" s="14">
        <v>1.75</v>
      </c>
      <c r="G27" s="15">
        <f t="shared" si="0"/>
        <v>385.52376246941174</v>
      </c>
      <c r="H27" s="15">
        <f t="shared" si="2"/>
        <v>197.27432297424929</v>
      </c>
      <c r="I27" s="16">
        <f t="shared" si="3"/>
        <v>188.24943949516245</v>
      </c>
      <c r="K27" s="26">
        <v>1.75</v>
      </c>
      <c r="L27" s="27">
        <f t="shared" si="4"/>
        <v>197.27432297424929</v>
      </c>
      <c r="M27" s="15">
        <f t="shared" si="4"/>
        <v>188.24943949516245</v>
      </c>
      <c r="N27" s="27">
        <v>0.1</v>
      </c>
      <c r="O27" s="27">
        <v>22723</v>
      </c>
      <c r="P27" s="27">
        <v>83.5</v>
      </c>
      <c r="Q27" s="44">
        <f t="shared" si="5"/>
        <v>189737050.00000003</v>
      </c>
      <c r="R27" s="44">
        <f t="shared" si="1"/>
        <v>3.7430248081881293E-2</v>
      </c>
      <c r="S27" s="44">
        <f t="shared" si="6"/>
        <v>0.72873863505099035</v>
      </c>
      <c r="T27" s="18">
        <f t="shared" si="7"/>
        <v>3.5717893313965611E-2</v>
      </c>
      <c r="U27" s="57">
        <f t="shared" si="8"/>
        <v>1.6827468920253388</v>
      </c>
      <c r="AB27" s="8"/>
      <c r="AC27" s="8"/>
      <c r="AH27" s="3"/>
      <c r="AI27" s="3"/>
      <c r="AJ27" s="3"/>
      <c r="AL27" s="3"/>
      <c r="AV27" s="3"/>
    </row>
    <row r="28" spans="2:48" x14ac:dyDescent="0.3">
      <c r="B28" s="14">
        <v>22.5</v>
      </c>
      <c r="C28" s="15">
        <v>61.6</v>
      </c>
      <c r="D28" s="16">
        <v>98</v>
      </c>
      <c r="F28" s="14">
        <v>1.85</v>
      </c>
      <c r="G28" s="15">
        <f t="shared" si="0"/>
        <v>374.95945726784197</v>
      </c>
      <c r="H28" s="15">
        <f t="shared" si="2"/>
        <v>195.48727005808945</v>
      </c>
      <c r="I28" s="16">
        <f t="shared" si="3"/>
        <v>179.47218720975252</v>
      </c>
      <c r="K28" s="26">
        <v>1.85</v>
      </c>
      <c r="L28" s="27">
        <f t="shared" si="4"/>
        <v>195.48727005808945</v>
      </c>
      <c r="M28" s="15">
        <f t="shared" si="4"/>
        <v>179.47218720975252</v>
      </c>
      <c r="N28" s="27">
        <v>0.1</v>
      </c>
      <c r="O28" s="27">
        <v>22723</v>
      </c>
      <c r="P28" s="27">
        <v>83.5</v>
      </c>
      <c r="Q28" s="44">
        <f t="shared" si="5"/>
        <v>189737050.00000003</v>
      </c>
      <c r="R28" s="44">
        <f t="shared" si="1"/>
        <v>3.7091177933375227E-2</v>
      </c>
      <c r="S28" s="44">
        <f t="shared" si="6"/>
        <v>0.76582981298436559</v>
      </c>
      <c r="T28" s="18">
        <f t="shared" si="7"/>
        <v>3.4052523358226179E-2</v>
      </c>
      <c r="U28" s="57">
        <f t="shared" si="8"/>
        <v>1.7167994153835651</v>
      </c>
      <c r="AB28" s="8"/>
      <c r="AC28" s="8"/>
      <c r="AH28" s="3"/>
      <c r="AI28" s="3"/>
      <c r="AJ28" s="3"/>
      <c r="AL28" s="3"/>
      <c r="AV28" s="3"/>
    </row>
    <row r="29" spans="2:48" x14ac:dyDescent="0.3">
      <c r="B29" s="14">
        <v>25</v>
      </c>
      <c r="C29" s="15">
        <v>61.6</v>
      </c>
      <c r="D29" s="16">
        <v>98</v>
      </c>
      <c r="F29" s="14">
        <v>1.95</v>
      </c>
      <c r="G29" s="15">
        <f t="shared" si="0"/>
        <v>365.21858576011078</v>
      </c>
      <c r="H29" s="15">
        <f t="shared" si="2"/>
        <v>193.71640555447621</v>
      </c>
      <c r="I29" s="16">
        <f t="shared" si="3"/>
        <v>171.50218020563457</v>
      </c>
      <c r="K29" s="26">
        <v>1.95</v>
      </c>
      <c r="L29" s="27">
        <f t="shared" si="4"/>
        <v>193.71640555447621</v>
      </c>
      <c r="M29" s="15">
        <f t="shared" si="4"/>
        <v>171.50218020563457</v>
      </c>
      <c r="N29" s="27">
        <v>0.1</v>
      </c>
      <c r="O29" s="27">
        <v>22723</v>
      </c>
      <c r="P29" s="27">
        <v>83.5</v>
      </c>
      <c r="Q29" s="44">
        <f t="shared" si="5"/>
        <v>189737050.00000003</v>
      </c>
      <c r="R29" s="44">
        <f t="shared" si="1"/>
        <v>3.6755179326509936E-2</v>
      </c>
      <c r="S29" s="44">
        <f t="shared" si="6"/>
        <v>0.80258499231087554</v>
      </c>
      <c r="T29" s="18">
        <f t="shared" si="7"/>
        <v>3.2540317740785502E-2</v>
      </c>
      <c r="U29" s="57">
        <f t="shared" si="8"/>
        <v>1.7493397331243505</v>
      </c>
      <c r="AB29" s="8"/>
      <c r="AC29" s="8"/>
      <c r="AH29" s="3"/>
      <c r="AI29" s="3"/>
      <c r="AJ29" s="3"/>
      <c r="AL29" s="3"/>
      <c r="AV29" s="3"/>
    </row>
    <row r="30" spans="2:48" x14ac:dyDescent="0.3">
      <c r="B30" s="14">
        <v>25</v>
      </c>
      <c r="C30" s="15">
        <v>64.5</v>
      </c>
      <c r="D30" s="16">
        <v>91</v>
      </c>
      <c r="F30" s="14">
        <v>2.0499999999999998</v>
      </c>
      <c r="G30" s="15">
        <f t="shared" si="0"/>
        <v>356.19945084248491</v>
      </c>
      <c r="H30" s="15"/>
      <c r="I30" s="16"/>
      <c r="K30" s="14"/>
      <c r="L30" s="15"/>
      <c r="M30" s="15"/>
      <c r="N30" s="15"/>
      <c r="O30" s="15"/>
      <c r="P30" s="15"/>
      <c r="Q30" s="15"/>
      <c r="R30" s="15"/>
      <c r="S30" s="15"/>
      <c r="T30" s="15"/>
      <c r="U30" s="16"/>
      <c r="AB30" s="8"/>
      <c r="AC30" s="8"/>
      <c r="AH30" s="3"/>
      <c r="AI30" s="3"/>
      <c r="AJ30" s="3"/>
      <c r="AL30" s="3"/>
      <c r="AV30" s="3"/>
    </row>
    <row r="31" spans="2:48" ht="15" thickBot="1" x14ac:dyDescent="0.35">
      <c r="B31" s="14">
        <v>27.5</v>
      </c>
      <c r="C31" s="15">
        <v>64.5</v>
      </c>
      <c r="D31" s="16">
        <v>91</v>
      </c>
      <c r="F31" s="14">
        <v>2.15</v>
      </c>
      <c r="G31" s="15">
        <f t="shared" si="0"/>
        <v>347.81711312994145</v>
      </c>
      <c r="H31" s="15"/>
      <c r="I31" s="16"/>
      <c r="K31" s="22"/>
      <c r="L31" s="23"/>
      <c r="M31" s="23"/>
      <c r="N31" s="31"/>
      <c r="O31" s="31"/>
      <c r="P31" s="58" t="s">
        <v>126</v>
      </c>
      <c r="Q31" s="58"/>
      <c r="R31" s="59">
        <f>S19</f>
        <v>0.41953871505643225</v>
      </c>
      <c r="S31" s="58" t="s">
        <v>127</v>
      </c>
      <c r="T31" s="58"/>
      <c r="U31" s="60">
        <f>U19</f>
        <v>1.3308812052364536</v>
      </c>
      <c r="AB31" s="8"/>
      <c r="AC31" s="8"/>
      <c r="AH31" s="3"/>
      <c r="AI31" s="3"/>
      <c r="AJ31" s="3"/>
      <c r="AL31" s="3"/>
      <c r="AV31" s="3"/>
    </row>
    <row r="32" spans="2:48" ht="15" thickBot="1" x14ac:dyDescent="0.35">
      <c r="B32" s="14">
        <v>27.5</v>
      </c>
      <c r="C32" s="15">
        <v>65.2</v>
      </c>
      <c r="D32" s="16">
        <v>85.4</v>
      </c>
      <c r="F32" s="14">
        <v>2.25</v>
      </c>
      <c r="G32" s="15">
        <f t="shared" si="0"/>
        <v>340</v>
      </c>
      <c r="H32" s="15"/>
      <c r="I32" s="16"/>
      <c r="N32" s="3"/>
      <c r="O32" s="3"/>
      <c r="AB32" s="8"/>
      <c r="AC32" s="8"/>
      <c r="AH32" s="3"/>
      <c r="AI32" s="3"/>
      <c r="AJ32" s="3"/>
      <c r="AL32" s="3"/>
      <c r="AV32" s="3"/>
    </row>
    <row r="33" spans="2:48" ht="18" x14ac:dyDescent="0.3">
      <c r="B33" s="14">
        <v>30</v>
      </c>
      <c r="C33" s="15">
        <v>65.2</v>
      </c>
      <c r="D33" s="16">
        <v>85.4</v>
      </c>
      <c r="F33" s="14">
        <v>2.35</v>
      </c>
      <c r="G33" s="15">
        <f t="shared" si="0"/>
        <v>332.68731725725547</v>
      </c>
      <c r="H33" s="15"/>
      <c r="I33" s="16"/>
      <c r="K33" s="52" t="s">
        <v>42</v>
      </c>
      <c r="L33" s="41"/>
      <c r="M33" s="41"/>
      <c r="N33" s="41"/>
      <c r="O33" s="41"/>
      <c r="P33" s="41"/>
      <c r="Q33" s="41"/>
      <c r="R33" s="41"/>
      <c r="S33" s="25"/>
      <c r="T33" s="25"/>
      <c r="U33" s="13"/>
      <c r="AB33" s="8"/>
      <c r="AC33" s="8"/>
      <c r="AH33" s="3"/>
      <c r="AI33" s="3"/>
      <c r="AJ33" s="3"/>
      <c r="AL33" s="3"/>
      <c r="AV33" s="3"/>
    </row>
    <row r="34" spans="2:48" x14ac:dyDescent="0.3">
      <c r="B34" s="14">
        <v>30</v>
      </c>
      <c r="C34" s="15">
        <v>69</v>
      </c>
      <c r="D34" s="16">
        <v>78</v>
      </c>
      <c r="F34" s="14">
        <v>2.4500000000000002</v>
      </c>
      <c r="G34" s="15">
        <f t="shared" si="0"/>
        <v>325.82704814996936</v>
      </c>
      <c r="H34" s="15"/>
      <c r="I34" s="16"/>
      <c r="K34" s="26"/>
      <c r="L34" s="27"/>
      <c r="M34" s="27"/>
      <c r="N34" s="27"/>
      <c r="O34" s="27"/>
      <c r="P34" s="27"/>
      <c r="Q34" s="27"/>
      <c r="R34" s="27"/>
      <c r="S34" s="15"/>
      <c r="T34" s="15"/>
      <c r="U34" s="16"/>
      <c r="AB34" s="8"/>
      <c r="AC34" s="8"/>
      <c r="AH34" s="3"/>
      <c r="AI34" s="3"/>
      <c r="AJ34" s="3"/>
      <c r="AL34" s="3"/>
      <c r="AV34" s="3"/>
    </row>
    <row r="35" spans="2:48" ht="16.8" x14ac:dyDescent="0.3">
      <c r="B35" s="14">
        <v>32.5</v>
      </c>
      <c r="C35" s="15">
        <v>69</v>
      </c>
      <c r="D35" s="16">
        <v>78</v>
      </c>
      <c r="F35" s="14">
        <v>2.5499999999999998</v>
      </c>
      <c r="G35" s="15">
        <f t="shared" si="0"/>
        <v>319.37438845342626</v>
      </c>
      <c r="H35" s="15"/>
      <c r="I35" s="16"/>
      <c r="K35" s="55" t="s">
        <v>41</v>
      </c>
      <c r="L35" s="35" t="s">
        <v>116</v>
      </c>
      <c r="M35" s="35" t="s">
        <v>117</v>
      </c>
      <c r="N35" s="56" t="s">
        <v>118</v>
      </c>
      <c r="O35" s="35" t="s">
        <v>119</v>
      </c>
      <c r="P35" s="35" t="s">
        <v>120</v>
      </c>
      <c r="Q35" s="35" t="s">
        <v>121</v>
      </c>
      <c r="R35" s="35" t="s">
        <v>122</v>
      </c>
      <c r="S35" s="35" t="s">
        <v>123</v>
      </c>
      <c r="T35" s="35" t="s">
        <v>124</v>
      </c>
      <c r="U35" s="51" t="s">
        <v>125</v>
      </c>
      <c r="AB35" s="8"/>
      <c r="AC35" s="8"/>
      <c r="AH35" s="3"/>
      <c r="AI35" s="3"/>
      <c r="AJ35" s="3"/>
      <c r="AL35" s="3"/>
      <c r="AV35" s="3"/>
    </row>
    <row r="36" spans="2:48" x14ac:dyDescent="0.3">
      <c r="B36" s="14">
        <v>32.5</v>
      </c>
      <c r="C36" s="15">
        <v>62</v>
      </c>
      <c r="D36" s="16">
        <v>72.5</v>
      </c>
      <c r="F36" s="14">
        <v>2.65</v>
      </c>
      <c r="G36" s="15">
        <f t="shared" si="0"/>
        <v>313.29050958531514</v>
      </c>
      <c r="H36" s="15"/>
      <c r="I36" s="16"/>
      <c r="K36" s="26">
        <v>0.05</v>
      </c>
      <c r="L36" s="27">
        <f>H10</f>
        <v>230.27983942704864</v>
      </c>
      <c r="M36" s="15">
        <f>I10</f>
        <v>2050.5094976227369</v>
      </c>
      <c r="N36" s="27">
        <v>0.1</v>
      </c>
      <c r="O36" s="27">
        <v>37416</v>
      </c>
      <c r="P36" s="27">
        <v>18.600000000000001</v>
      </c>
      <c r="Q36" s="44">
        <f>O36*P36*N36*1000</f>
        <v>69593760.000000015</v>
      </c>
      <c r="R36" s="44">
        <f t="shared" ref="R36:R55" si="9">Q36*L36/1000000000000</f>
        <v>1.6026039877924565E-2</v>
      </c>
      <c r="S36" s="44">
        <f>R36</f>
        <v>1.6026039877924565E-2</v>
      </c>
      <c r="T36" s="18">
        <f>Q36*M36/1000000000000</f>
        <v>0.14270266585527736</v>
      </c>
      <c r="U36" s="57">
        <f>T36</f>
        <v>0.14270266585527736</v>
      </c>
      <c r="AB36" s="8"/>
      <c r="AC36" s="8"/>
      <c r="AH36" s="3"/>
      <c r="AI36" s="3"/>
      <c r="AJ36" s="3"/>
      <c r="AL36" s="3"/>
      <c r="AV36" s="3"/>
    </row>
    <row r="37" spans="2:48" x14ac:dyDescent="0.3">
      <c r="B37" s="14">
        <v>35</v>
      </c>
      <c r="C37" s="15">
        <v>62</v>
      </c>
      <c r="D37" s="16">
        <v>72.5</v>
      </c>
      <c r="F37" s="14">
        <v>2.75</v>
      </c>
      <c r="G37" s="15">
        <f t="shared" si="0"/>
        <v>307.54157146931891</v>
      </c>
      <c r="H37" s="15"/>
      <c r="I37" s="16"/>
      <c r="K37" s="26">
        <v>0.15</v>
      </c>
      <c r="L37" s="27">
        <f t="shared" ref="L37:L55" si="10">0.00000000042488*(K37^6)-0.000000253*(K37^5)+0.000058949*(K37^4)-0.0067857*(K37^3)+0.40168*(K37^2)-11.751*(K37)+205.4</f>
        <v>203.64636492808623</v>
      </c>
      <c r="M37" s="15">
        <f t="shared" ref="M37:M55" si="11">I11</f>
        <v>1088.6205389418644</v>
      </c>
      <c r="N37" s="27">
        <v>0.1</v>
      </c>
      <c r="O37" s="27">
        <v>37416</v>
      </c>
      <c r="P37" s="27">
        <v>18.600000000000001</v>
      </c>
      <c r="Q37" s="44">
        <f t="shared" ref="Q37:Q55" si="12">O37*P37*N37*1000</f>
        <v>69593760.000000015</v>
      </c>
      <c r="R37" s="44">
        <f t="shared" si="9"/>
        <v>1.4172516245677653E-2</v>
      </c>
      <c r="S37" s="44">
        <f>S36+R37</f>
        <v>3.019855612360222E-2</v>
      </c>
      <c r="T37" s="18">
        <f>Q37*M37/1000000000000</f>
        <v>7.5761196518190785E-2</v>
      </c>
      <c r="U37" s="57">
        <f>U36+T37</f>
        <v>0.21846386237346815</v>
      </c>
      <c r="AB37" s="8"/>
      <c r="AC37" s="8"/>
      <c r="AV37" s="3"/>
    </row>
    <row r="38" spans="2:48" x14ac:dyDescent="0.3">
      <c r="B38" s="14">
        <v>35</v>
      </c>
      <c r="C38" s="15">
        <v>70.8</v>
      </c>
      <c r="D38" s="16">
        <v>78.5</v>
      </c>
      <c r="F38" s="14">
        <v>2.85</v>
      </c>
      <c r="G38" s="15">
        <f t="shared" si="0"/>
        <v>302.09792765713706</v>
      </c>
      <c r="H38" s="15"/>
      <c r="I38" s="16"/>
      <c r="K38" s="26">
        <v>0.25</v>
      </c>
      <c r="L38" s="27">
        <f t="shared" si="10"/>
        <v>202.48724920346007</v>
      </c>
      <c r="M38" s="15">
        <f t="shared" si="11"/>
        <v>793.87334503085458</v>
      </c>
      <c r="N38" s="27">
        <v>0.1</v>
      </c>
      <c r="O38" s="27">
        <v>37416</v>
      </c>
      <c r="P38" s="27">
        <v>18.600000000000001</v>
      </c>
      <c r="Q38" s="44">
        <f t="shared" si="12"/>
        <v>69593760.000000015</v>
      </c>
      <c r="R38" s="44">
        <f t="shared" si="9"/>
        <v>1.4091849024125793E-2</v>
      </c>
      <c r="S38" s="44">
        <f t="shared" ref="S38:S55" si="13">S37+R38</f>
        <v>4.4290405147728015E-2</v>
      </c>
      <c r="T38" s="18">
        <f t="shared" ref="T38:T55" si="14">Q38*M38/1000000000000</f>
        <v>5.5248631044474493E-2</v>
      </c>
      <c r="U38" s="57">
        <f>U37+T38</f>
        <v>0.27371249341794263</v>
      </c>
      <c r="AB38" s="8"/>
      <c r="AC38" s="8"/>
      <c r="AV38" s="3"/>
    </row>
    <row r="39" spans="2:48" x14ac:dyDescent="0.3">
      <c r="B39" s="14">
        <v>37.5</v>
      </c>
      <c r="C39" s="15">
        <v>70.8</v>
      </c>
      <c r="D39" s="16">
        <v>78.5</v>
      </c>
      <c r="F39" s="14">
        <v>2.95</v>
      </c>
      <c r="G39" s="15">
        <f t="shared" si="0"/>
        <v>296.93347996718683</v>
      </c>
      <c r="H39" s="15"/>
      <c r="I39" s="16"/>
      <c r="K39" s="26">
        <v>0.35</v>
      </c>
      <c r="L39" s="27">
        <f t="shared" si="10"/>
        <v>201.3360657463879</v>
      </c>
      <c r="M39" s="15">
        <f t="shared" si="11"/>
        <v>637.9791029759333</v>
      </c>
      <c r="N39" s="27">
        <v>0.1</v>
      </c>
      <c r="O39" s="27">
        <v>37416</v>
      </c>
      <c r="P39" s="27">
        <v>18.600000000000001</v>
      </c>
      <c r="Q39" s="44">
        <f t="shared" si="12"/>
        <v>69593760.000000015</v>
      </c>
      <c r="R39" s="44">
        <f t="shared" si="9"/>
        <v>1.4011733838898343E-2</v>
      </c>
      <c r="S39" s="44">
        <f t="shared" si="13"/>
        <v>5.830213898662636E-2</v>
      </c>
      <c r="T39" s="18">
        <f t="shared" si="14"/>
        <v>4.4399364577522402E-2</v>
      </c>
      <c r="U39" s="57">
        <f t="shared" ref="U39:U55" si="15">U38+T39</f>
        <v>0.31811185799546504</v>
      </c>
      <c r="AB39" s="8"/>
      <c r="AC39" s="8"/>
      <c r="AV39" s="3"/>
    </row>
    <row r="40" spans="2:48" x14ac:dyDescent="0.3">
      <c r="B40" s="14">
        <v>37.5</v>
      </c>
      <c r="C40" s="15">
        <v>53</v>
      </c>
      <c r="D40" s="16">
        <v>63.1</v>
      </c>
      <c r="F40" s="14">
        <v>3.05</v>
      </c>
      <c r="G40" s="15">
        <f t="shared" si="0"/>
        <v>292.02515050007281</v>
      </c>
      <c r="H40" s="15"/>
      <c r="I40" s="16"/>
      <c r="K40" s="26">
        <v>0.45</v>
      </c>
      <c r="L40" s="27">
        <f t="shared" si="10"/>
        <v>200.19277426569991</v>
      </c>
      <c r="M40" s="15">
        <f t="shared" si="11"/>
        <v>538.21473757792137</v>
      </c>
      <c r="N40" s="27">
        <v>0.1</v>
      </c>
      <c r="O40" s="27">
        <v>37416</v>
      </c>
      <c r="P40" s="27">
        <v>18.600000000000001</v>
      </c>
      <c r="Q40" s="44">
        <f t="shared" si="12"/>
        <v>69593760.000000015</v>
      </c>
      <c r="R40" s="44">
        <f t="shared" si="9"/>
        <v>1.3932167885981299E-2</v>
      </c>
      <c r="S40" s="44">
        <f t="shared" si="13"/>
        <v>7.2234306872607665E-2</v>
      </c>
      <c r="T40" s="18">
        <f t="shared" si="14"/>
        <v>3.7456387275460849E-2</v>
      </c>
      <c r="U40" s="57">
        <f t="shared" si="15"/>
        <v>0.3555682452709259</v>
      </c>
      <c r="AB40" s="8"/>
      <c r="AC40" s="8"/>
      <c r="AV40" s="3"/>
    </row>
    <row r="41" spans="2:48" x14ac:dyDescent="0.3">
      <c r="B41" s="14">
        <v>40</v>
      </c>
      <c r="C41" s="15">
        <v>53</v>
      </c>
      <c r="D41" s="16">
        <v>63.1</v>
      </c>
      <c r="F41" s="14">
        <v>3.15</v>
      </c>
      <c r="G41" s="15">
        <f t="shared" si="0"/>
        <v>287.35244660769564</v>
      </c>
      <c r="H41" s="15"/>
      <c r="I41" s="16"/>
      <c r="K41" s="26">
        <v>0.55000000000000004</v>
      </c>
      <c r="L41" s="27">
        <f t="shared" si="10"/>
        <v>199.0573346106431</v>
      </c>
      <c r="M41" s="15">
        <f t="shared" si="11"/>
        <v>467.64695906283987</v>
      </c>
      <c r="N41" s="27">
        <v>0.1</v>
      </c>
      <c r="O41" s="27">
        <v>37416</v>
      </c>
      <c r="P41" s="27">
        <v>18.600000000000001</v>
      </c>
      <c r="Q41" s="44">
        <f t="shared" si="12"/>
        <v>69593760.000000015</v>
      </c>
      <c r="R41" s="44">
        <f t="shared" si="9"/>
        <v>1.3853148371132792E-2</v>
      </c>
      <c r="S41" s="44">
        <f t="shared" si="13"/>
        <v>8.6087455243740452E-2</v>
      </c>
      <c r="T41" s="18">
        <f t="shared" si="14"/>
        <v>3.2545310233749111E-2</v>
      </c>
      <c r="U41" s="57">
        <f t="shared" si="15"/>
        <v>0.38811355550467502</v>
      </c>
      <c r="AB41" s="8"/>
      <c r="AC41" s="8"/>
      <c r="AV41" s="3"/>
    </row>
    <row r="42" spans="2:48" x14ac:dyDescent="0.3">
      <c r="B42" s="14">
        <v>40</v>
      </c>
      <c r="C42" s="15">
        <v>70.599999999999994</v>
      </c>
      <c r="D42" s="16">
        <v>76.400000000000006</v>
      </c>
      <c r="F42" s="14">
        <v>3.25</v>
      </c>
      <c r="G42" s="15">
        <f t="shared" ref="G42:G73" si="16">$G$4/(F42^(1/2))</f>
        <v>282.89710007486684</v>
      </c>
      <c r="H42" s="15"/>
      <c r="I42" s="16"/>
      <c r="K42" s="26">
        <v>0.65</v>
      </c>
      <c r="L42" s="27">
        <f t="shared" si="10"/>
        <v>197.92970677057912</v>
      </c>
      <c r="M42" s="15">
        <f t="shared" si="11"/>
        <v>414.5334984961512</v>
      </c>
      <c r="N42" s="27">
        <v>0.1</v>
      </c>
      <c r="O42" s="27">
        <v>37416</v>
      </c>
      <c r="P42" s="27">
        <v>18.600000000000001</v>
      </c>
      <c r="Q42" s="44">
        <f t="shared" si="12"/>
        <v>69593760.000000015</v>
      </c>
      <c r="R42" s="44">
        <f t="shared" si="9"/>
        <v>1.3774672509862061E-2</v>
      </c>
      <c r="S42" s="44">
        <f t="shared" si="13"/>
        <v>9.9862127753602509E-2</v>
      </c>
      <c r="T42" s="18">
        <f t="shared" si="14"/>
        <v>2.8848944806301513E-2</v>
      </c>
      <c r="U42" s="57">
        <f t="shared" si="15"/>
        <v>0.41696250031097654</v>
      </c>
      <c r="AB42" s="8"/>
      <c r="AC42" s="8"/>
      <c r="AV42" s="3"/>
    </row>
    <row r="43" spans="2:48" x14ac:dyDescent="0.3">
      <c r="B43" s="14">
        <v>42.5</v>
      </c>
      <c r="C43" s="15">
        <v>70.599999999999994</v>
      </c>
      <c r="D43" s="16">
        <v>76.400000000000006</v>
      </c>
      <c r="F43" s="14">
        <v>3.35</v>
      </c>
      <c r="G43" s="15">
        <f t="shared" si="16"/>
        <v>278.64276600115807</v>
      </c>
      <c r="H43" s="15"/>
      <c r="I43" s="16"/>
      <c r="K43" s="26">
        <v>0.75</v>
      </c>
      <c r="L43" s="27">
        <f t="shared" si="10"/>
        <v>196.80985087468207</v>
      </c>
      <c r="M43" s="15">
        <f t="shared" si="11"/>
        <v>372.828823086375</v>
      </c>
      <c r="N43" s="27">
        <v>0.1</v>
      </c>
      <c r="O43" s="27">
        <v>37416</v>
      </c>
      <c r="P43" s="27">
        <v>18.600000000000001</v>
      </c>
      <c r="Q43" s="44">
        <f t="shared" si="12"/>
        <v>69593760.000000015</v>
      </c>
      <c r="R43" s="44">
        <f t="shared" si="9"/>
        <v>1.3696737527408416E-2</v>
      </c>
      <c r="S43" s="44">
        <f t="shared" si="13"/>
        <v>0.11355886528101092</v>
      </c>
      <c r="T43" s="18">
        <f t="shared" si="14"/>
        <v>2.5946559634955648E-2</v>
      </c>
      <c r="U43" s="57">
        <f t="shared" si="15"/>
        <v>0.44290905994593216</v>
      </c>
      <c r="AB43" s="8"/>
      <c r="AC43" s="8"/>
      <c r="AV43" s="3"/>
    </row>
    <row r="44" spans="2:48" x14ac:dyDescent="0.3">
      <c r="B44" s="14">
        <v>42.5</v>
      </c>
      <c r="C44" s="15">
        <v>63.5</v>
      </c>
      <c r="D44" s="16">
        <v>63.4</v>
      </c>
      <c r="F44" s="14">
        <v>3.45</v>
      </c>
      <c r="G44" s="15">
        <f t="shared" si="16"/>
        <v>274.57477004966444</v>
      </c>
      <c r="H44" s="15"/>
      <c r="I44" s="16"/>
      <c r="K44" s="26">
        <v>0.85</v>
      </c>
      <c r="L44" s="27">
        <f t="shared" si="10"/>
        <v>195.69772719163674</v>
      </c>
      <c r="M44" s="15">
        <f t="shared" si="11"/>
        <v>339.06151962035653</v>
      </c>
      <c r="N44" s="27">
        <v>0.1</v>
      </c>
      <c r="O44" s="27">
        <v>37416</v>
      </c>
      <c r="P44" s="27">
        <v>18.600000000000001</v>
      </c>
      <c r="Q44" s="44">
        <f t="shared" si="12"/>
        <v>69593760.000000015</v>
      </c>
      <c r="R44" s="44">
        <f t="shared" si="9"/>
        <v>1.3619340658720246E-2</v>
      </c>
      <c r="S44" s="44">
        <f t="shared" si="13"/>
        <v>0.12717820593973117</v>
      </c>
      <c r="T44" s="18">
        <f t="shared" si="14"/>
        <v>2.3596566021694389E-2</v>
      </c>
      <c r="U44" s="57">
        <f t="shared" si="15"/>
        <v>0.46650562596762657</v>
      </c>
      <c r="AB44" s="8"/>
      <c r="AC44" s="8"/>
      <c r="AV44" s="3"/>
    </row>
    <row r="45" spans="2:48" x14ac:dyDescent="0.3">
      <c r="B45" s="14">
        <v>45</v>
      </c>
      <c r="C45" s="15">
        <v>63.5</v>
      </c>
      <c r="D45" s="16">
        <v>63.4</v>
      </c>
      <c r="F45" s="14">
        <v>3.55</v>
      </c>
      <c r="G45" s="15">
        <f t="shared" si="16"/>
        <v>270.67989514148042</v>
      </c>
      <c r="H45" s="15"/>
      <c r="I45" s="16"/>
      <c r="K45" s="26">
        <v>0.95</v>
      </c>
      <c r="L45" s="27">
        <f t="shared" si="10"/>
        <v>194.59329612933718</v>
      </c>
      <c r="M45" s="15">
        <f t="shared" si="11"/>
        <v>311.07738474953197</v>
      </c>
      <c r="N45" s="27">
        <v>0.1</v>
      </c>
      <c r="O45" s="27">
        <v>37416</v>
      </c>
      <c r="P45" s="27">
        <v>18.600000000000001</v>
      </c>
      <c r="Q45" s="44">
        <f t="shared" si="12"/>
        <v>69593760.000000015</v>
      </c>
      <c r="R45" s="44">
        <f t="shared" si="9"/>
        <v>1.3542479148434023E-2</v>
      </c>
      <c r="S45" s="44">
        <f>S44+R45</f>
        <v>0.14072068508816518</v>
      </c>
      <c r="T45" s="18">
        <f t="shared" si="14"/>
        <v>2.1649044855686594E-2</v>
      </c>
      <c r="U45" s="57">
        <f t="shared" si="15"/>
        <v>0.48815467082331315</v>
      </c>
      <c r="AB45" s="8"/>
      <c r="AC45" s="8"/>
      <c r="AV45" s="3"/>
    </row>
    <row r="46" spans="2:48" x14ac:dyDescent="0.3">
      <c r="B46" s="14">
        <v>45</v>
      </c>
      <c r="C46" s="15">
        <v>54.8</v>
      </c>
      <c r="D46" s="16">
        <v>66</v>
      </c>
      <c r="F46" s="14">
        <v>3.65</v>
      </c>
      <c r="G46" s="15">
        <f t="shared" si="16"/>
        <v>266.94620052100896</v>
      </c>
      <c r="H46" s="15"/>
      <c r="I46" s="16"/>
      <c r="K46" s="26">
        <v>1.05</v>
      </c>
      <c r="L46" s="27">
        <f t="shared" si="10"/>
        <v>193.49651823458558</v>
      </c>
      <c r="M46" s="15">
        <f t="shared" si="11"/>
        <v>287.45946534381744</v>
      </c>
      <c r="N46" s="27">
        <v>0.1</v>
      </c>
      <c r="O46" s="27">
        <v>37416</v>
      </c>
      <c r="P46" s="27">
        <v>18.600000000000001</v>
      </c>
      <c r="Q46" s="44">
        <f t="shared" si="12"/>
        <v>69593760.000000015</v>
      </c>
      <c r="R46" s="44">
        <f t="shared" si="9"/>
        <v>1.3466150250853374E-2</v>
      </c>
      <c r="S46" s="44">
        <f t="shared" si="13"/>
        <v>0.15418683533901856</v>
      </c>
      <c r="T46" s="18">
        <f t="shared" si="14"/>
        <v>2.000538504086595E-2</v>
      </c>
      <c r="U46" s="57">
        <f t="shared" si="15"/>
        <v>0.50816005586417912</v>
      </c>
      <c r="AB46" s="8"/>
      <c r="AC46" s="8"/>
      <c r="AV46" s="3"/>
    </row>
    <row r="47" spans="2:48" x14ac:dyDescent="0.3">
      <c r="B47" s="14">
        <v>47.5</v>
      </c>
      <c r="C47" s="15">
        <v>54.8</v>
      </c>
      <c r="D47" s="16">
        <v>66</v>
      </c>
      <c r="F47" s="14">
        <v>3.75</v>
      </c>
      <c r="G47" s="15">
        <f t="shared" si="16"/>
        <v>263.36286754210431</v>
      </c>
      <c r="H47" s="15"/>
      <c r="I47" s="16"/>
      <c r="K47" s="26">
        <v>1.1499999999999999</v>
      </c>
      <c r="L47" s="27">
        <f t="shared" si="10"/>
        <v>192.40735419279133</v>
      </c>
      <c r="M47" s="15">
        <f t="shared" si="11"/>
        <v>267.23247240939293</v>
      </c>
      <c r="N47" s="27">
        <v>0.1</v>
      </c>
      <c r="O47" s="27">
        <v>37416</v>
      </c>
      <c r="P47" s="27">
        <v>18.600000000000001</v>
      </c>
      <c r="Q47" s="44">
        <f t="shared" si="12"/>
        <v>69593760.000000015</v>
      </c>
      <c r="R47" s="44">
        <f t="shared" si="9"/>
        <v>1.3390351229928116E-2</v>
      </c>
      <c r="S47" s="44">
        <f t="shared" si="13"/>
        <v>0.16757718656894668</v>
      </c>
      <c r="T47" s="18">
        <f t="shared" si="14"/>
        <v>1.8597712549065917E-2</v>
      </c>
      <c r="U47" s="57">
        <f t="shared" si="15"/>
        <v>0.52675776841324506</v>
      </c>
      <c r="AB47" s="8"/>
      <c r="AC47" s="8"/>
      <c r="AV47" s="3"/>
    </row>
    <row r="48" spans="2:48" x14ac:dyDescent="0.3">
      <c r="B48" s="14">
        <v>47.5</v>
      </c>
      <c r="C48" s="15">
        <v>64.099999999999994</v>
      </c>
      <c r="D48" s="16">
        <v>68</v>
      </c>
      <c r="F48" s="14">
        <v>3.85</v>
      </c>
      <c r="G48" s="15">
        <f t="shared" si="16"/>
        <v>259.92006763318903</v>
      </c>
      <c r="H48" s="15"/>
      <c r="I48" s="16"/>
      <c r="K48" s="26">
        <v>1.25</v>
      </c>
      <c r="L48" s="27">
        <f t="shared" si="10"/>
        <v>191.32576482767061</v>
      </c>
      <c r="M48" s="15">
        <f t="shared" si="11"/>
        <v>249.70022651671991</v>
      </c>
      <c r="N48" s="27">
        <v>0.1</v>
      </c>
      <c r="O48" s="27">
        <v>37416</v>
      </c>
      <c r="P48" s="27">
        <v>18.600000000000001</v>
      </c>
      <c r="Q48" s="44">
        <f t="shared" si="12"/>
        <v>69593760.000000015</v>
      </c>
      <c r="R48" s="44">
        <f t="shared" si="9"/>
        <v>1.3315079359233352E-2</v>
      </c>
      <c r="S48" s="44">
        <f t="shared" si="13"/>
        <v>0.18089226592818003</v>
      </c>
      <c r="T48" s="18">
        <f t="shared" si="14"/>
        <v>1.7377577636150245E-2</v>
      </c>
      <c r="U48" s="57">
        <f t="shared" si="15"/>
        <v>0.54413534604939529</v>
      </c>
      <c r="AB48" s="8"/>
      <c r="AC48" s="8"/>
      <c r="AV48" s="3"/>
    </row>
    <row r="49" spans="2:62" x14ac:dyDescent="0.3">
      <c r="B49" s="14">
        <v>50</v>
      </c>
      <c r="C49" s="15">
        <v>64.099999999999994</v>
      </c>
      <c r="D49" s="16">
        <v>68</v>
      </c>
      <c r="F49" s="14">
        <v>3.95</v>
      </c>
      <c r="G49" s="15">
        <f t="shared" si="16"/>
        <v>256.60884876758007</v>
      </c>
      <c r="H49" s="15"/>
      <c r="I49" s="16"/>
      <c r="K49" s="26">
        <v>1.35</v>
      </c>
      <c r="L49" s="27">
        <f t="shared" si="10"/>
        <v>190.25171110094595</v>
      </c>
      <c r="M49" s="15">
        <f t="shared" si="11"/>
        <v>234.35071370164204</v>
      </c>
      <c r="N49" s="27">
        <v>0.1</v>
      </c>
      <c r="O49" s="27">
        <v>37416</v>
      </c>
      <c r="P49" s="27">
        <v>18.600000000000001</v>
      </c>
      <c r="Q49" s="44">
        <f t="shared" si="12"/>
        <v>69593760.000000015</v>
      </c>
      <c r="R49" s="44">
        <f t="shared" si="9"/>
        <v>1.3240331921948572E-2</v>
      </c>
      <c r="S49" s="44">
        <f t="shared" si="13"/>
        <v>0.1941325978501286</v>
      </c>
      <c r="T49" s="18">
        <f t="shared" si="14"/>
        <v>1.630934732518079E-2</v>
      </c>
      <c r="U49" s="57">
        <f t="shared" si="15"/>
        <v>0.56044469337457603</v>
      </c>
      <c r="AB49" s="8"/>
      <c r="AC49" s="8"/>
      <c r="AV49" s="3"/>
    </row>
    <row r="50" spans="2:62" x14ac:dyDescent="0.3">
      <c r="B50" s="14">
        <v>50</v>
      </c>
      <c r="C50" s="15">
        <v>65</v>
      </c>
      <c r="D50" s="16">
        <v>64</v>
      </c>
      <c r="F50" s="14">
        <v>4.05</v>
      </c>
      <c r="G50" s="15">
        <f t="shared" si="16"/>
        <v>253.42103744997618</v>
      </c>
      <c r="H50" s="15"/>
      <c r="I50" s="16"/>
      <c r="K50" s="26">
        <v>1.45</v>
      </c>
      <c r="L50" s="27">
        <f t="shared" si="10"/>
        <v>189.1851541120466</v>
      </c>
      <c r="M50" s="15">
        <f t="shared" si="11"/>
        <v>220.79784841083364</v>
      </c>
      <c r="N50" s="27">
        <v>0.1</v>
      </c>
      <c r="O50" s="27">
        <v>37416</v>
      </c>
      <c r="P50" s="27">
        <v>18.600000000000001</v>
      </c>
      <c r="Q50" s="44">
        <f t="shared" si="12"/>
        <v>69593760.000000015</v>
      </c>
      <c r="R50" s="44">
        <f t="shared" si="9"/>
        <v>1.3166106210836788E-2</v>
      </c>
      <c r="S50" s="44">
        <f t="shared" si="13"/>
        <v>0.20729870406096537</v>
      </c>
      <c r="T50" s="18">
        <f t="shared" si="14"/>
        <v>1.5366152470819941E-2</v>
      </c>
      <c r="U50" s="57">
        <f t="shared" si="15"/>
        <v>0.57581084584539599</v>
      </c>
      <c r="AB50" s="8"/>
      <c r="AC50" s="8"/>
      <c r="AV50" s="3"/>
    </row>
    <row r="51" spans="2:62" x14ac:dyDescent="0.3">
      <c r="B51" s="14">
        <v>52.5</v>
      </c>
      <c r="C51" s="15">
        <v>65</v>
      </c>
      <c r="D51" s="16">
        <v>64</v>
      </c>
      <c r="F51" s="14">
        <v>4.1500000000000004</v>
      </c>
      <c r="G51" s="15">
        <f t="shared" si="16"/>
        <v>250.34915377364615</v>
      </c>
      <c r="H51" s="15"/>
      <c r="I51" s="16"/>
      <c r="K51" s="26">
        <v>1.55</v>
      </c>
      <c r="L51" s="27">
        <f t="shared" si="10"/>
        <v>188.1260550978086</v>
      </c>
      <c r="M51" s="15">
        <f t="shared" si="11"/>
        <v>208.7442703957463</v>
      </c>
      <c r="N51" s="27">
        <v>0.1</v>
      </c>
      <c r="O51" s="27">
        <v>37416</v>
      </c>
      <c r="P51" s="27">
        <v>18.600000000000001</v>
      </c>
      <c r="Q51" s="44">
        <f t="shared" si="12"/>
        <v>69593760.000000015</v>
      </c>
      <c r="R51" s="44">
        <f t="shared" si="9"/>
        <v>1.3092399528223671E-2</v>
      </c>
      <c r="S51" s="44">
        <f t="shared" si="13"/>
        <v>0.22039110358918904</v>
      </c>
      <c r="T51" s="18">
        <f t="shared" si="14"/>
        <v>1.4527298655296677E-2</v>
      </c>
      <c r="U51" s="57">
        <f t="shared" si="15"/>
        <v>0.59033814450069266</v>
      </c>
      <c r="AB51" s="8"/>
      <c r="AC51" s="8"/>
      <c r="AV51" s="3"/>
    </row>
    <row r="52" spans="2:62" x14ac:dyDescent="0.3">
      <c r="B52" s="14">
        <v>52.5</v>
      </c>
      <c r="C52" s="15">
        <v>63.1</v>
      </c>
      <c r="D52" s="16">
        <v>62.1</v>
      </c>
      <c r="F52" s="14">
        <v>4.25</v>
      </c>
      <c r="G52" s="15">
        <f t="shared" si="16"/>
        <v>247.38633753705963</v>
      </c>
      <c r="H52" s="15"/>
      <c r="I52" s="16"/>
      <c r="K52" s="26">
        <v>1.65</v>
      </c>
      <c r="L52" s="27">
        <f t="shared" si="10"/>
        <v>187.07437543217566</v>
      </c>
      <c r="M52" s="15">
        <f t="shared" si="11"/>
        <v>197.95674923254782</v>
      </c>
      <c r="N52" s="27">
        <v>0.1</v>
      </c>
      <c r="O52" s="27">
        <v>37416</v>
      </c>
      <c r="P52" s="27">
        <v>18.600000000000001</v>
      </c>
      <c r="Q52" s="44">
        <f t="shared" si="12"/>
        <v>69593760.000000015</v>
      </c>
      <c r="R52" s="44">
        <f t="shared" si="9"/>
        <v>1.3019209185976733E-2</v>
      </c>
      <c r="S52" s="44">
        <f t="shared" si="13"/>
        <v>0.23341031277516577</v>
      </c>
      <c r="T52" s="18">
        <f t="shared" si="14"/>
        <v>1.377655449647012E-2</v>
      </c>
      <c r="U52" s="57">
        <f t="shared" si="15"/>
        <v>0.60411469899716275</v>
      </c>
      <c r="AB52" s="8"/>
      <c r="AC52" s="8"/>
      <c r="AV52" s="3"/>
    </row>
    <row r="53" spans="2:62" x14ac:dyDescent="0.3">
      <c r="B53" s="14">
        <v>55</v>
      </c>
      <c r="C53" s="15">
        <v>63.1</v>
      </c>
      <c r="D53" s="16">
        <v>62.1</v>
      </c>
      <c r="F53" s="14">
        <v>4.3499999999999996</v>
      </c>
      <c r="G53" s="15">
        <f t="shared" si="16"/>
        <v>244.52628375754594</v>
      </c>
      <c r="H53" s="15"/>
      <c r="I53" s="16"/>
      <c r="K53" s="26">
        <v>1.75</v>
      </c>
      <c r="L53" s="27">
        <f t="shared" si="10"/>
        <v>186.03007662590008</v>
      </c>
      <c r="M53" s="15">
        <f t="shared" si="11"/>
        <v>188.24943949516245</v>
      </c>
      <c r="N53" s="27">
        <v>0.1</v>
      </c>
      <c r="O53" s="27">
        <v>37416</v>
      </c>
      <c r="P53" s="27">
        <v>18.600000000000001</v>
      </c>
      <c r="Q53" s="44">
        <f t="shared" si="12"/>
        <v>69593760.000000015</v>
      </c>
      <c r="R53" s="44">
        <f t="shared" si="9"/>
        <v>1.2946532505484503E-2</v>
      </c>
      <c r="S53" s="44">
        <f t="shared" si="13"/>
        <v>0.24635684528065027</v>
      </c>
      <c r="T53" s="18">
        <f t="shared" si="14"/>
        <v>1.310098631236086E-2</v>
      </c>
      <c r="U53" s="57">
        <f t="shared" si="15"/>
        <v>0.61721568530952364</v>
      </c>
      <c r="AB53" s="8"/>
      <c r="AC53" s="8"/>
      <c r="AV53" s="3"/>
    </row>
    <row r="54" spans="2:62" x14ac:dyDescent="0.3">
      <c r="B54" s="14">
        <v>55</v>
      </c>
      <c r="C54" s="15">
        <v>65</v>
      </c>
      <c r="D54" s="16">
        <v>68.2</v>
      </c>
      <c r="F54" s="14">
        <v>4.45</v>
      </c>
      <c r="G54" s="15">
        <f t="shared" si="16"/>
        <v>241.76318620138841</v>
      </c>
      <c r="H54" s="15"/>
      <c r="I54" s="16"/>
      <c r="K54" s="26">
        <v>1.85</v>
      </c>
      <c r="L54" s="27">
        <f t="shared" si="10"/>
        <v>184.99312032624405</v>
      </c>
      <c r="M54" s="15">
        <f t="shared" si="11"/>
        <v>179.47218720975252</v>
      </c>
      <c r="N54" s="27">
        <v>0.1</v>
      </c>
      <c r="O54" s="27">
        <v>37416</v>
      </c>
      <c r="P54" s="27">
        <v>18.600000000000001</v>
      </c>
      <c r="Q54" s="44">
        <f t="shared" si="12"/>
        <v>69593760.000000015</v>
      </c>
      <c r="R54" s="44">
        <f t="shared" si="9"/>
        <v>1.2874366817635754E-2</v>
      </c>
      <c r="S54" s="44">
        <f t="shared" si="13"/>
        <v>0.25923121209828603</v>
      </c>
      <c r="T54" s="18">
        <f t="shared" si="14"/>
        <v>1.2490144323350589E-2</v>
      </c>
      <c r="U54" s="57">
        <f t="shared" si="15"/>
        <v>0.62970582963287425</v>
      </c>
      <c r="AB54" s="8"/>
      <c r="AC54" s="8"/>
      <c r="AV54" s="3"/>
      <c r="BJ54" s="9"/>
    </row>
    <row r="55" spans="2:62" x14ac:dyDescent="0.3">
      <c r="B55" s="14">
        <v>57.5</v>
      </c>
      <c r="C55" s="15">
        <v>65</v>
      </c>
      <c r="D55" s="16">
        <v>68.2</v>
      </c>
      <c r="F55" s="14">
        <v>4.55</v>
      </c>
      <c r="G55" s="15">
        <f t="shared" si="16"/>
        <v>239.09168777863266</v>
      </c>
      <c r="H55" s="15"/>
      <c r="I55" s="16"/>
      <c r="K55" s="26">
        <v>1.95</v>
      </c>
      <c r="L55" s="27">
        <f t="shared" si="10"/>
        <v>183.96346831668126</v>
      </c>
      <c r="M55" s="15">
        <f t="shared" si="11"/>
        <v>171.50218020563457</v>
      </c>
      <c r="N55" s="27">
        <v>0.1</v>
      </c>
      <c r="O55" s="27">
        <v>37416</v>
      </c>
      <c r="P55" s="27">
        <v>18.600000000000001</v>
      </c>
      <c r="Q55" s="44">
        <f t="shared" si="12"/>
        <v>69593760.000000015</v>
      </c>
      <c r="R55" s="44">
        <f t="shared" si="9"/>
        <v>1.2802709462798722E-2</v>
      </c>
      <c r="S55" s="44">
        <f t="shared" si="13"/>
        <v>0.27203392156108475</v>
      </c>
      <c r="T55" s="18">
        <f t="shared" si="14"/>
        <v>1.1935481568707685E-2</v>
      </c>
      <c r="U55" s="57">
        <f t="shared" si="15"/>
        <v>0.64164131120158197</v>
      </c>
      <c r="AB55" s="8"/>
      <c r="AC55" s="8"/>
      <c r="AV55" s="3"/>
    </row>
    <row r="56" spans="2:62" x14ac:dyDescent="0.3">
      <c r="B56" s="14">
        <v>57.5</v>
      </c>
      <c r="C56" s="15">
        <v>62</v>
      </c>
      <c r="D56" s="16">
        <v>64.5</v>
      </c>
      <c r="F56" s="14">
        <v>4.6500000000000004</v>
      </c>
      <c r="G56" s="15">
        <f t="shared" si="16"/>
        <v>236.5068368376858</v>
      </c>
      <c r="H56" s="15"/>
      <c r="I56" s="16"/>
      <c r="K56" s="14"/>
      <c r="L56" s="15"/>
      <c r="M56" s="15"/>
      <c r="N56" s="18"/>
      <c r="O56" s="18"/>
      <c r="P56" s="15"/>
      <c r="Q56" s="15"/>
      <c r="R56" s="15"/>
      <c r="S56" s="15"/>
      <c r="T56" s="15"/>
      <c r="U56" s="16"/>
      <c r="AB56" s="8"/>
      <c r="AC56" s="8"/>
      <c r="AV56" s="3"/>
    </row>
    <row r="57" spans="2:62" ht="15" thickBot="1" x14ac:dyDescent="0.35">
      <c r="B57" s="14">
        <v>60</v>
      </c>
      <c r="C57" s="15">
        <v>62</v>
      </c>
      <c r="D57" s="16">
        <v>64.5</v>
      </c>
      <c r="F57" s="14">
        <v>4.75</v>
      </c>
      <c r="G57" s="15">
        <f t="shared" si="16"/>
        <v>234.00404854797299</v>
      </c>
      <c r="H57" s="15"/>
      <c r="I57" s="16"/>
      <c r="K57" s="22"/>
      <c r="L57" s="23"/>
      <c r="M57" s="23"/>
      <c r="N57" s="31"/>
      <c r="O57" s="31"/>
      <c r="P57" s="58" t="s">
        <v>126</v>
      </c>
      <c r="Q57" s="58"/>
      <c r="R57" s="59">
        <f>S45</f>
        <v>0.14072068508816518</v>
      </c>
      <c r="S57" s="58" t="s">
        <v>127</v>
      </c>
      <c r="T57" s="58"/>
      <c r="U57" s="60">
        <f>U45</f>
        <v>0.48815467082331315</v>
      </c>
      <c r="AB57" s="8"/>
      <c r="AC57" s="8"/>
      <c r="AV57" s="3"/>
    </row>
    <row r="58" spans="2:62" ht="15" thickBot="1" x14ac:dyDescent="0.35">
      <c r="B58" s="14">
        <v>60</v>
      </c>
      <c r="C58" s="15">
        <v>57.8</v>
      </c>
      <c r="D58" s="16">
        <v>61</v>
      </c>
      <c r="F58" s="14">
        <v>4.8499999999999996</v>
      </c>
      <c r="G58" s="15">
        <f t="shared" si="16"/>
        <v>231.57907068511489</v>
      </c>
      <c r="H58" s="15"/>
      <c r="I58" s="16"/>
      <c r="N58" s="3"/>
      <c r="O58" s="3"/>
      <c r="AB58" s="8"/>
      <c r="AC58" s="8"/>
      <c r="AV58" s="3"/>
    </row>
    <row r="59" spans="2:62" ht="18" x14ac:dyDescent="0.3">
      <c r="B59" s="14">
        <v>62.5</v>
      </c>
      <c r="C59" s="15">
        <v>57.8</v>
      </c>
      <c r="D59" s="16">
        <v>61</v>
      </c>
      <c r="F59" s="14">
        <v>4.95</v>
      </c>
      <c r="G59" s="15">
        <f t="shared" si="16"/>
        <v>229.22795323750228</v>
      </c>
      <c r="H59" s="15"/>
      <c r="I59" s="16"/>
      <c r="K59" s="52" t="s">
        <v>4</v>
      </c>
      <c r="L59" s="41"/>
      <c r="M59" s="41"/>
      <c r="N59" s="41"/>
      <c r="O59" s="41"/>
      <c r="P59" s="41"/>
      <c r="Q59" s="41"/>
      <c r="R59" s="41"/>
      <c r="S59" s="25"/>
      <c r="T59" s="25"/>
      <c r="U59" s="13"/>
      <c r="AB59" s="8"/>
      <c r="AC59" s="8"/>
      <c r="AV59" s="3"/>
    </row>
    <row r="60" spans="2:62" x14ac:dyDescent="0.3">
      <c r="B60" s="14">
        <v>62.5</v>
      </c>
      <c r="C60" s="15">
        <v>59.5</v>
      </c>
      <c r="D60" s="16">
        <v>67</v>
      </c>
      <c r="F60" s="14">
        <v>5.05</v>
      </c>
      <c r="G60" s="15">
        <f t="shared" si="16"/>
        <v>226.94702133989225</v>
      </c>
      <c r="H60" s="15"/>
      <c r="I60" s="16"/>
      <c r="K60" s="26"/>
      <c r="L60" s="27"/>
      <c r="M60" s="27"/>
      <c r="N60" s="27"/>
      <c r="O60" s="27"/>
      <c r="P60" s="27"/>
      <c r="Q60" s="27"/>
      <c r="R60" s="27"/>
      <c r="S60" s="15"/>
      <c r="T60" s="15"/>
      <c r="U60" s="16"/>
      <c r="AB60" s="8"/>
      <c r="AC60" s="8"/>
      <c r="AV60" s="3"/>
    </row>
    <row r="61" spans="2:62" ht="16.8" x14ac:dyDescent="0.3">
      <c r="B61" s="14">
        <v>65</v>
      </c>
      <c r="C61" s="15">
        <v>59.5</v>
      </c>
      <c r="D61" s="16">
        <v>67</v>
      </c>
      <c r="F61" s="14">
        <v>5.15</v>
      </c>
      <c r="G61" s="15">
        <f t="shared" si="16"/>
        <v>224.73285111200818</v>
      </c>
      <c r="H61" s="15"/>
      <c r="I61" s="16"/>
      <c r="K61" s="55" t="s">
        <v>41</v>
      </c>
      <c r="L61" s="35" t="s">
        <v>116</v>
      </c>
      <c r="M61" s="35" t="s">
        <v>117</v>
      </c>
      <c r="N61" s="56" t="s">
        <v>118</v>
      </c>
      <c r="O61" s="35" t="s">
        <v>119</v>
      </c>
      <c r="P61" s="35" t="s">
        <v>120</v>
      </c>
      <c r="Q61" s="35" t="s">
        <v>121</v>
      </c>
      <c r="R61" s="35" t="s">
        <v>122</v>
      </c>
      <c r="S61" s="35" t="s">
        <v>123</v>
      </c>
      <c r="T61" s="35" t="s">
        <v>124</v>
      </c>
      <c r="U61" s="51" t="s">
        <v>125</v>
      </c>
      <c r="AB61" s="8"/>
      <c r="AC61" s="8"/>
      <c r="AV61" s="3"/>
    </row>
    <row r="62" spans="2:62" x14ac:dyDescent="0.3">
      <c r="B62" s="14">
        <v>65</v>
      </c>
      <c r="C62" s="15">
        <v>58.6</v>
      </c>
      <c r="D62" s="16">
        <v>57.5</v>
      </c>
      <c r="F62" s="14">
        <v>5.25</v>
      </c>
      <c r="G62" s="15">
        <f t="shared" si="16"/>
        <v>222.58224804071224</v>
      </c>
      <c r="H62" s="15"/>
      <c r="I62" s="16"/>
      <c r="K62" s="26">
        <v>0.05</v>
      </c>
      <c r="L62" s="27">
        <f>0.00000000042488*(K62^6)-0.000000253*(K62^5)+0.000058949*(K62^4)-0.0067857*(K62^3)+0.40168*(K62^2)-11.751*(K62)+205.4</f>
        <v>204.81345335215585</v>
      </c>
      <c r="M62" s="15">
        <f>I10</f>
        <v>2050.5094976227369</v>
      </c>
      <c r="N62" s="27">
        <v>0.1</v>
      </c>
      <c r="O62" s="27">
        <v>11145</v>
      </c>
      <c r="P62" s="27">
        <v>46.9</v>
      </c>
      <c r="Q62" s="44">
        <f>O62*P62*N62*1000</f>
        <v>52270050</v>
      </c>
      <c r="R62" s="44">
        <f t="shared" ref="R62:R81" si="17">Q62*L62/1000000000000</f>
        <v>1.0705609447389854E-2</v>
      </c>
      <c r="S62" s="44">
        <f>R62</f>
        <v>1.0705609447389854E-2</v>
      </c>
      <c r="T62" s="18">
        <f>Q62*M62/1000000000000</f>
        <v>0.10718023396621534</v>
      </c>
      <c r="U62" s="57">
        <f>T62</f>
        <v>0.10718023396621534</v>
      </c>
      <c r="AB62" s="8"/>
      <c r="AC62" s="8"/>
      <c r="AV62" s="3"/>
    </row>
    <row r="63" spans="2:62" x14ac:dyDescent="0.3">
      <c r="B63" s="14">
        <v>67.5</v>
      </c>
      <c r="C63" s="15">
        <v>58.6</v>
      </c>
      <c r="D63" s="16">
        <v>57.5</v>
      </c>
      <c r="F63" s="14">
        <v>5.35</v>
      </c>
      <c r="G63" s="15">
        <f t="shared" si="16"/>
        <v>220.49222759522965</v>
      </c>
      <c r="H63" s="15"/>
      <c r="I63" s="16"/>
      <c r="K63" s="26">
        <v>0.15</v>
      </c>
      <c r="L63" s="27">
        <f t="shared" ref="L63:L81" si="18">0.00000000042488*(K63^6)-0.000000253*(K63^5)+0.000058949*(K63^4)-0.0067857*(K63^3)+0.40168*(K63^2)-11.751*(K63)+205.4</f>
        <v>203.64636492808623</v>
      </c>
      <c r="M63" s="15">
        <f t="shared" ref="M63:M81" si="19">I11</f>
        <v>1088.6205389418644</v>
      </c>
      <c r="N63" s="27">
        <v>0.1</v>
      </c>
      <c r="O63" s="27">
        <v>11145</v>
      </c>
      <c r="P63" s="27">
        <v>46.9</v>
      </c>
      <c r="Q63" s="44">
        <f t="shared" ref="Q63:Q81" si="20">O63*P63*N63*1000</f>
        <v>52270050</v>
      </c>
      <c r="R63" s="44">
        <f t="shared" si="17"/>
        <v>1.0644605677109314E-2</v>
      </c>
      <c r="S63" s="44">
        <f>S62+R63</f>
        <v>2.1350215124499167E-2</v>
      </c>
      <c r="T63" s="18">
        <f t="shared" ref="T63:T81" si="21">Q63*M63/1000000000000</f>
        <v>5.6902250001518204E-2</v>
      </c>
      <c r="U63" s="57">
        <f>U62+T63</f>
        <v>0.16408248396773356</v>
      </c>
      <c r="AB63" s="8"/>
      <c r="AC63" s="8"/>
      <c r="AV63" s="3"/>
    </row>
    <row r="64" spans="2:62" x14ac:dyDescent="0.3">
      <c r="B64" s="14">
        <v>67.5</v>
      </c>
      <c r="C64" s="15">
        <v>62.4</v>
      </c>
      <c r="D64" s="16">
        <v>61.8</v>
      </c>
      <c r="F64" s="14">
        <v>5.45</v>
      </c>
      <c r="G64" s="15">
        <f t="shared" si="16"/>
        <v>218.45999780784086</v>
      </c>
      <c r="H64" s="15"/>
      <c r="I64" s="16"/>
      <c r="K64" s="26">
        <v>0.25</v>
      </c>
      <c r="L64" s="27">
        <f t="shared" si="18"/>
        <v>202.48724920346007</v>
      </c>
      <c r="M64" s="15">
        <f t="shared" si="19"/>
        <v>793.87334503085458</v>
      </c>
      <c r="N64" s="27">
        <v>0.1</v>
      </c>
      <c r="O64" s="27">
        <v>11145</v>
      </c>
      <c r="P64" s="27">
        <v>46.9</v>
      </c>
      <c r="Q64" s="44">
        <f t="shared" si="20"/>
        <v>52270050</v>
      </c>
      <c r="R64" s="44">
        <f t="shared" si="17"/>
        <v>1.0584018640227318E-2</v>
      </c>
      <c r="S64" s="44">
        <f t="shared" ref="S64:S81" si="22">S63+R64</f>
        <v>3.1934233764726483E-2</v>
      </c>
      <c r="T64" s="18">
        <f t="shared" si="21"/>
        <v>4.1495799438430021E-2</v>
      </c>
      <c r="U64" s="57">
        <f t="shared" ref="U64:U81" si="23">U63+T64</f>
        <v>0.20557828340616358</v>
      </c>
      <c r="AB64" s="8"/>
      <c r="AC64" s="8"/>
      <c r="AV64" s="3"/>
    </row>
    <row r="65" spans="2:48" x14ac:dyDescent="0.3">
      <c r="B65" s="14">
        <v>70</v>
      </c>
      <c r="C65" s="15">
        <v>62.4</v>
      </c>
      <c r="D65" s="16">
        <v>61.8</v>
      </c>
      <c r="F65" s="14">
        <v>5.55</v>
      </c>
      <c r="G65" s="15">
        <f t="shared" si="16"/>
        <v>216.48294358878454</v>
      </c>
      <c r="H65" s="15"/>
      <c r="I65" s="16"/>
      <c r="K65" s="26">
        <v>0.35</v>
      </c>
      <c r="L65" s="27">
        <f t="shared" si="18"/>
        <v>201.3360657463879</v>
      </c>
      <c r="M65" s="15">
        <f t="shared" si="19"/>
        <v>637.9791029759333</v>
      </c>
      <c r="N65" s="27">
        <v>0.1</v>
      </c>
      <c r="O65" s="27">
        <v>11145</v>
      </c>
      <c r="P65" s="27">
        <v>46.9</v>
      </c>
      <c r="Q65" s="44">
        <f t="shared" si="20"/>
        <v>52270050</v>
      </c>
      <c r="R65" s="44">
        <f t="shared" si="17"/>
        <v>1.0523846223366983E-2</v>
      </c>
      <c r="S65" s="44">
        <f t="shared" si="22"/>
        <v>4.2458079988093464E-2</v>
      </c>
      <c r="T65" s="18">
        <f t="shared" si="21"/>
        <v>3.3347199611507186E-2</v>
      </c>
      <c r="U65" s="57">
        <f t="shared" si="23"/>
        <v>0.23892548301767075</v>
      </c>
      <c r="AB65" s="8"/>
      <c r="AC65" s="8"/>
      <c r="AV65" s="3"/>
    </row>
    <row r="66" spans="2:48" x14ac:dyDescent="0.3">
      <c r="B66" s="14">
        <v>70</v>
      </c>
      <c r="C66" s="15">
        <v>64.5</v>
      </c>
      <c r="D66" s="16">
        <v>65.8</v>
      </c>
      <c r="F66" s="14">
        <v>5.65</v>
      </c>
      <c r="G66" s="15">
        <f t="shared" si="16"/>
        <v>214.55861257495232</v>
      </c>
      <c r="H66" s="15"/>
      <c r="I66" s="16"/>
      <c r="K66" s="26">
        <v>0.45</v>
      </c>
      <c r="L66" s="27">
        <f t="shared" si="18"/>
        <v>200.19277426569991</v>
      </c>
      <c r="M66" s="15">
        <f t="shared" si="19"/>
        <v>538.21473757792137</v>
      </c>
      <c r="N66" s="27">
        <v>0.1</v>
      </c>
      <c r="O66" s="27">
        <v>11145</v>
      </c>
      <c r="P66" s="27">
        <v>46.9</v>
      </c>
      <c r="Q66" s="44">
        <f t="shared" si="20"/>
        <v>52270050</v>
      </c>
      <c r="R66" s="44">
        <f t="shared" si="17"/>
        <v>1.0464086320506848E-2</v>
      </c>
      <c r="S66" s="44">
        <f t="shared" si="22"/>
        <v>5.2922166308600312E-2</v>
      </c>
      <c r="T66" s="18">
        <f t="shared" si="21"/>
        <v>2.813251124393483E-2</v>
      </c>
      <c r="U66" s="57">
        <f t="shared" si="23"/>
        <v>0.26705799426160559</v>
      </c>
      <c r="AB66" s="8"/>
      <c r="AC66" s="8"/>
      <c r="AV66" s="3"/>
    </row>
    <row r="67" spans="2:48" x14ac:dyDescent="0.3">
      <c r="B67" s="14">
        <v>72.5</v>
      </c>
      <c r="C67" s="15">
        <v>64.5</v>
      </c>
      <c r="D67" s="16">
        <v>65.8</v>
      </c>
      <c r="F67" s="14">
        <v>5.75</v>
      </c>
      <c r="G67" s="15">
        <f t="shared" si="16"/>
        <v>212.68470233821628</v>
      </c>
      <c r="H67" s="15"/>
      <c r="I67" s="16"/>
      <c r="K67" s="26">
        <v>0.55000000000000004</v>
      </c>
      <c r="L67" s="27">
        <f t="shared" si="18"/>
        <v>199.0573346106431</v>
      </c>
      <c r="M67" s="15">
        <f t="shared" si="19"/>
        <v>467.64695906283987</v>
      </c>
      <c r="N67" s="27">
        <v>0.1</v>
      </c>
      <c r="O67" s="27">
        <v>11145</v>
      </c>
      <c r="P67" s="27">
        <v>46.9</v>
      </c>
      <c r="Q67" s="44">
        <f t="shared" si="20"/>
        <v>52270050</v>
      </c>
      <c r="R67" s="44">
        <f t="shared" si="17"/>
        <v>1.0404736832965045E-2</v>
      </c>
      <c r="S67" s="44">
        <f t="shared" si="22"/>
        <v>6.332690314156536E-2</v>
      </c>
      <c r="T67" s="18">
        <f t="shared" si="21"/>
        <v>2.4443929932562593E-2</v>
      </c>
      <c r="U67" s="57">
        <f t="shared" si="23"/>
        <v>0.2915019241941682</v>
      </c>
      <c r="AB67" s="8"/>
      <c r="AC67" s="8"/>
      <c r="AV67" s="3"/>
    </row>
    <row r="68" spans="2:48" x14ac:dyDescent="0.3">
      <c r="B68" s="14">
        <v>72.5</v>
      </c>
      <c r="C68" s="15">
        <v>62</v>
      </c>
      <c r="D68" s="16">
        <v>63.6</v>
      </c>
      <c r="F68" s="14">
        <v>5.85</v>
      </c>
      <c r="G68" s="15">
        <f t="shared" si="16"/>
        <v>210.85904880165438</v>
      </c>
      <c r="H68" s="15"/>
      <c r="I68" s="16"/>
      <c r="K68" s="26">
        <v>0.65</v>
      </c>
      <c r="L68" s="27">
        <f t="shared" si="18"/>
        <v>197.92970677057912</v>
      </c>
      <c r="M68" s="15">
        <f t="shared" si="19"/>
        <v>414.5334984961512</v>
      </c>
      <c r="N68" s="27">
        <v>0.1</v>
      </c>
      <c r="O68" s="27">
        <v>11145</v>
      </c>
      <c r="P68" s="27">
        <v>46.9</v>
      </c>
      <c r="Q68" s="44">
        <f t="shared" si="20"/>
        <v>52270050</v>
      </c>
      <c r="R68" s="44">
        <f t="shared" si="17"/>
        <v>1.0345795669383508E-2</v>
      </c>
      <c r="S68" s="44">
        <f t="shared" si="22"/>
        <v>7.3672698810948872E-2</v>
      </c>
      <c r="T68" s="18">
        <f t="shared" si="21"/>
        <v>2.166768669306875E-2</v>
      </c>
      <c r="U68" s="57">
        <f t="shared" si="23"/>
        <v>0.31316961088723694</v>
      </c>
      <c r="AB68" s="8"/>
      <c r="AC68" s="8"/>
      <c r="AV68" s="3"/>
    </row>
    <row r="69" spans="2:48" x14ac:dyDescent="0.3">
      <c r="B69" s="14">
        <v>75</v>
      </c>
      <c r="C69" s="15">
        <v>62</v>
      </c>
      <c r="D69" s="16">
        <v>63.6</v>
      </c>
      <c r="F69" s="14">
        <v>5.95</v>
      </c>
      <c r="G69" s="15">
        <f t="shared" si="16"/>
        <v>209.07961573115088</v>
      </c>
      <c r="H69" s="15"/>
      <c r="I69" s="16"/>
      <c r="K69" s="26">
        <v>0.75</v>
      </c>
      <c r="L69" s="27">
        <f t="shared" si="18"/>
        <v>196.80985087468207</v>
      </c>
      <c r="M69" s="15">
        <f t="shared" si="19"/>
        <v>372.828823086375</v>
      </c>
      <c r="N69" s="27">
        <v>0.1</v>
      </c>
      <c r="O69" s="27">
        <v>11145</v>
      </c>
      <c r="P69" s="27">
        <v>46.9</v>
      </c>
      <c r="Q69" s="44">
        <f t="shared" si="20"/>
        <v>52270050</v>
      </c>
      <c r="R69" s="44">
        <f t="shared" si="17"/>
        <v>1.0287260745712175E-2</v>
      </c>
      <c r="S69" s="44">
        <f t="shared" si="22"/>
        <v>8.3959959556661051E-2</v>
      </c>
      <c r="T69" s="18">
        <f t="shared" si="21"/>
        <v>1.9487781224165973E-2</v>
      </c>
      <c r="U69" s="57">
        <f t="shared" si="23"/>
        <v>0.33265739211140288</v>
      </c>
      <c r="AB69" s="8"/>
      <c r="AC69" s="8"/>
      <c r="AV69" s="3"/>
    </row>
    <row r="70" spans="2:48" x14ac:dyDescent="0.3">
      <c r="B70" s="14">
        <v>75</v>
      </c>
      <c r="C70" s="15">
        <v>63.6</v>
      </c>
      <c r="D70" s="16">
        <v>59</v>
      </c>
      <c r="F70" s="14">
        <v>6.05</v>
      </c>
      <c r="G70" s="15">
        <f t="shared" si="16"/>
        <v>207.34448518634414</v>
      </c>
      <c r="H70" s="15"/>
      <c r="I70" s="16"/>
      <c r="K70" s="26">
        <v>0.85</v>
      </c>
      <c r="L70" s="27">
        <f t="shared" si="18"/>
        <v>195.69772719163674</v>
      </c>
      <c r="M70" s="15">
        <f t="shared" si="19"/>
        <v>339.06151962035653</v>
      </c>
      <c r="N70" s="27">
        <v>0.1</v>
      </c>
      <c r="O70" s="27">
        <v>11145</v>
      </c>
      <c r="P70" s="27">
        <v>46.9</v>
      </c>
      <c r="Q70" s="44">
        <f t="shared" si="20"/>
        <v>52270050</v>
      </c>
      <c r="R70" s="44">
        <f t="shared" si="17"/>
        <v>1.0229129985193212E-2</v>
      </c>
      <c r="S70" s="44">
        <f t="shared" si="22"/>
        <v>9.418908954185426E-2</v>
      </c>
      <c r="T70" s="18">
        <f t="shared" si="21"/>
        <v>1.7722762583632014E-2</v>
      </c>
      <c r="U70" s="57">
        <f t="shared" si="23"/>
        <v>0.35038015469503492</v>
      </c>
      <c r="AB70" s="8"/>
      <c r="AC70" s="8"/>
      <c r="AV70" s="3"/>
    </row>
    <row r="71" spans="2:48" x14ac:dyDescent="0.3">
      <c r="B71" s="14">
        <v>77.5</v>
      </c>
      <c r="C71" s="15">
        <v>63.6</v>
      </c>
      <c r="D71" s="16">
        <v>59</v>
      </c>
      <c r="F71" s="14">
        <v>6.15</v>
      </c>
      <c r="G71" s="15">
        <f t="shared" si="16"/>
        <v>205.65184882910552</v>
      </c>
      <c r="H71" s="15"/>
      <c r="I71" s="16"/>
      <c r="K71" s="26">
        <v>0.95</v>
      </c>
      <c r="L71" s="27">
        <f t="shared" si="18"/>
        <v>194.59329612933718</v>
      </c>
      <c r="M71" s="15">
        <f t="shared" si="19"/>
        <v>311.07738474953197</v>
      </c>
      <c r="N71" s="27">
        <v>0.1</v>
      </c>
      <c r="O71" s="27">
        <v>11145</v>
      </c>
      <c r="P71" s="27">
        <v>46.9</v>
      </c>
      <c r="Q71" s="44">
        <f t="shared" si="20"/>
        <v>52270050</v>
      </c>
      <c r="R71" s="44">
        <f t="shared" si="17"/>
        <v>1.017140131834526E-2</v>
      </c>
      <c r="S71" s="44">
        <f t="shared" si="22"/>
        <v>0.10436049086019952</v>
      </c>
      <c r="T71" s="18">
        <f t="shared" si="21"/>
        <v>1.6260030454727275E-2</v>
      </c>
      <c r="U71" s="57">
        <f t="shared" si="23"/>
        <v>0.36664018514976221</v>
      </c>
      <c r="AB71" s="8"/>
      <c r="AC71" s="8"/>
      <c r="AV71" s="3"/>
    </row>
    <row r="72" spans="2:48" x14ac:dyDescent="0.3">
      <c r="B72" s="14">
        <v>77.5</v>
      </c>
      <c r="C72" s="15">
        <v>63.6</v>
      </c>
      <c r="D72" s="16">
        <v>64.3</v>
      </c>
      <c r="F72" s="14">
        <v>6.25</v>
      </c>
      <c r="G72" s="15">
        <f t="shared" si="16"/>
        <v>204</v>
      </c>
      <c r="H72" s="15"/>
      <c r="I72" s="16"/>
      <c r="K72" s="26">
        <v>1.05</v>
      </c>
      <c r="L72" s="27">
        <f t="shared" si="18"/>
        <v>193.49651823458558</v>
      </c>
      <c r="M72" s="15">
        <f t="shared" si="19"/>
        <v>287.45946534381744</v>
      </c>
      <c r="N72" s="27">
        <v>0.1</v>
      </c>
      <c r="O72" s="27">
        <v>11145</v>
      </c>
      <c r="P72" s="27">
        <v>46.9</v>
      </c>
      <c r="Q72" s="44">
        <f t="shared" si="20"/>
        <v>52270050</v>
      </c>
      <c r="R72" s="44">
        <f t="shared" si="17"/>
        <v>1.01140726829477E-2</v>
      </c>
      <c r="S72" s="44">
        <f t="shared" si="22"/>
        <v>0.11447456354314722</v>
      </c>
      <c r="T72" s="18">
        <f t="shared" si="21"/>
        <v>1.5025520626494603E-2</v>
      </c>
      <c r="U72" s="57">
        <f t="shared" si="23"/>
        <v>0.3816657057762568</v>
      </c>
      <c r="AB72" s="8"/>
      <c r="AC72" s="8"/>
      <c r="AV72" s="3"/>
    </row>
    <row r="73" spans="2:48" x14ac:dyDescent="0.3">
      <c r="B73" s="14">
        <v>80</v>
      </c>
      <c r="C73" s="15">
        <v>63.6</v>
      </c>
      <c r="D73" s="16">
        <v>64.3</v>
      </c>
      <c r="F73" s="14">
        <v>6.35</v>
      </c>
      <c r="G73" s="15">
        <f t="shared" si="16"/>
        <v>202.387326483799</v>
      </c>
      <c r="H73" s="15"/>
      <c r="I73" s="16"/>
      <c r="K73" s="26">
        <v>1.1499999999999999</v>
      </c>
      <c r="L73" s="27">
        <f t="shared" si="18"/>
        <v>192.40735419279133</v>
      </c>
      <c r="M73" s="15">
        <f t="shared" si="19"/>
        <v>267.23247240939293</v>
      </c>
      <c r="N73" s="27">
        <v>0.1</v>
      </c>
      <c r="O73" s="27">
        <v>11145</v>
      </c>
      <c r="P73" s="27">
        <v>46.9</v>
      </c>
      <c r="Q73" s="44">
        <f t="shared" si="20"/>
        <v>52270050</v>
      </c>
      <c r="R73" s="44">
        <f t="shared" si="17"/>
        <v>1.0057142024024912E-2</v>
      </c>
      <c r="S73" s="44">
        <f t="shared" si="22"/>
        <v>0.12453170556717214</v>
      </c>
      <c r="T73" s="18">
        <f t="shared" si="21"/>
        <v>1.3968254694462589E-2</v>
      </c>
      <c r="U73" s="57">
        <f t="shared" si="23"/>
        <v>0.39563396047071941</v>
      </c>
      <c r="AB73" s="8"/>
      <c r="AC73" s="8"/>
      <c r="AV73" s="3"/>
    </row>
    <row r="74" spans="2:48" x14ac:dyDescent="0.3">
      <c r="B74" s="14">
        <v>80</v>
      </c>
      <c r="C74" s="15">
        <v>60.3</v>
      </c>
      <c r="D74" s="16">
        <v>70.8</v>
      </c>
      <c r="F74" s="14">
        <v>6.45</v>
      </c>
      <c r="G74" s="15">
        <f t="shared" ref="G74:G105" si="24">$G$4/(F74^(1/2))</f>
        <v>200.81230389433023</v>
      </c>
      <c r="H74" s="15"/>
      <c r="I74" s="16"/>
      <c r="K74" s="26">
        <v>1.25</v>
      </c>
      <c r="L74" s="27">
        <f t="shared" si="18"/>
        <v>191.32576482767061</v>
      </c>
      <c r="M74" s="15">
        <f t="shared" si="19"/>
        <v>249.70022651671991</v>
      </c>
      <c r="N74" s="27">
        <v>0.1</v>
      </c>
      <c r="O74" s="27">
        <v>11145</v>
      </c>
      <c r="P74" s="27">
        <v>46.9</v>
      </c>
      <c r="Q74" s="44">
        <f t="shared" si="20"/>
        <v>52270050</v>
      </c>
      <c r="R74" s="44">
        <f t="shared" si="17"/>
        <v>1.0000607293830583E-2</v>
      </c>
      <c r="S74" s="44">
        <f t="shared" si="22"/>
        <v>0.13453231286100273</v>
      </c>
      <c r="T74" s="18">
        <f t="shared" si="21"/>
        <v>1.3051843325040276E-2</v>
      </c>
      <c r="U74" s="57">
        <f t="shared" si="23"/>
        <v>0.40868580379575969</v>
      </c>
      <c r="AB74" s="8"/>
      <c r="AC74" s="8"/>
      <c r="AV74" s="3"/>
    </row>
    <row r="75" spans="2:48" x14ac:dyDescent="0.3">
      <c r="B75" s="14">
        <v>82.5</v>
      </c>
      <c r="C75" s="15">
        <v>60.3</v>
      </c>
      <c r="D75" s="16">
        <v>70.8</v>
      </c>
      <c r="F75" s="14">
        <v>6.55</v>
      </c>
      <c r="G75" s="15">
        <f t="shared" si="24"/>
        <v>199.2734896169637</v>
      </c>
      <c r="H75" s="15"/>
      <c r="I75" s="16"/>
      <c r="K75" s="26">
        <v>1.35</v>
      </c>
      <c r="L75" s="27">
        <f t="shared" si="18"/>
        <v>190.25171110094595</v>
      </c>
      <c r="M75" s="15">
        <f t="shared" si="19"/>
        <v>234.35071370164204</v>
      </c>
      <c r="N75" s="27">
        <v>0.1</v>
      </c>
      <c r="O75" s="27">
        <v>11145</v>
      </c>
      <c r="P75" s="27">
        <v>46.9</v>
      </c>
      <c r="Q75" s="44">
        <f t="shared" si="20"/>
        <v>52270050</v>
      </c>
      <c r="R75" s="44">
        <f t="shared" si="17"/>
        <v>9.9444664518320014E-3</v>
      </c>
      <c r="S75" s="44">
        <f t="shared" si="22"/>
        <v>0.14447677931283473</v>
      </c>
      <c r="T75" s="18">
        <f t="shared" si="21"/>
        <v>1.2249523522720514E-2</v>
      </c>
      <c r="U75" s="57">
        <f t="shared" si="23"/>
        <v>0.42093532731848021</v>
      </c>
      <c r="AB75" s="8"/>
      <c r="AC75" s="8"/>
      <c r="AV75" s="3"/>
    </row>
    <row r="76" spans="2:48" x14ac:dyDescent="0.3">
      <c r="B76" s="14">
        <v>82.5</v>
      </c>
      <c r="C76" s="15">
        <v>59.7</v>
      </c>
      <c r="D76" s="16">
        <v>62</v>
      </c>
      <c r="F76" s="14">
        <v>6.65</v>
      </c>
      <c r="G76" s="15">
        <f t="shared" si="24"/>
        <v>197.76951725401773</v>
      </c>
      <c r="H76" s="15"/>
      <c r="I76" s="16"/>
      <c r="K76" s="26">
        <v>1.45</v>
      </c>
      <c r="L76" s="27">
        <f t="shared" si="18"/>
        <v>189.1851541120466</v>
      </c>
      <c r="M76" s="15">
        <f t="shared" si="19"/>
        <v>220.79784841083364</v>
      </c>
      <c r="N76" s="27">
        <v>0.1</v>
      </c>
      <c r="O76" s="27">
        <v>11145</v>
      </c>
      <c r="P76" s="27">
        <v>46.9</v>
      </c>
      <c r="Q76" s="44">
        <f t="shared" si="20"/>
        <v>52270050</v>
      </c>
      <c r="R76" s="44">
        <f t="shared" si="17"/>
        <v>9.8887174646943819E-3</v>
      </c>
      <c r="S76" s="44">
        <f t="shared" si="22"/>
        <v>0.15436549677752912</v>
      </c>
      <c r="T76" s="18">
        <f t="shared" si="21"/>
        <v>1.1541114576326695E-2</v>
      </c>
      <c r="U76" s="57">
        <f t="shared" si="23"/>
        <v>0.43247644189480688</v>
      </c>
      <c r="AB76" s="8"/>
      <c r="AC76" s="8"/>
      <c r="AV76" s="3"/>
    </row>
    <row r="77" spans="2:48" x14ac:dyDescent="0.3">
      <c r="B77" s="14">
        <v>85</v>
      </c>
      <c r="C77" s="15">
        <v>59.7</v>
      </c>
      <c r="D77" s="16">
        <v>62</v>
      </c>
      <c r="F77" s="14">
        <v>6.75</v>
      </c>
      <c r="G77" s="15">
        <f t="shared" si="24"/>
        <v>196.29909152447274</v>
      </c>
      <c r="H77" s="15"/>
      <c r="I77" s="16"/>
      <c r="K77" s="26">
        <v>1.55</v>
      </c>
      <c r="L77" s="27">
        <f t="shared" si="18"/>
        <v>188.1260550978086</v>
      </c>
      <c r="M77" s="15">
        <f t="shared" si="19"/>
        <v>208.7442703957463</v>
      </c>
      <c r="N77" s="27">
        <v>0.1</v>
      </c>
      <c r="O77" s="27">
        <v>11145</v>
      </c>
      <c r="P77" s="27">
        <v>46.9</v>
      </c>
      <c r="Q77" s="44">
        <f t="shared" si="20"/>
        <v>52270050</v>
      </c>
      <c r="R77" s="44">
        <f t="shared" si="17"/>
        <v>9.8333583062652115E-3</v>
      </c>
      <c r="S77" s="44">
        <f t="shared" si="22"/>
        <v>0.16419885508379434</v>
      </c>
      <c r="T77" s="18">
        <f t="shared" si="21"/>
        <v>1.091107345079918E-2</v>
      </c>
      <c r="U77" s="57">
        <f t="shared" si="23"/>
        <v>0.44338751534560605</v>
      </c>
      <c r="AB77" s="8"/>
      <c r="AC77" s="8"/>
      <c r="AV77" s="3"/>
    </row>
    <row r="78" spans="2:48" x14ac:dyDescent="0.3">
      <c r="B78" s="14">
        <v>85</v>
      </c>
      <c r="C78" s="15">
        <v>52</v>
      </c>
      <c r="D78" s="16">
        <v>38.9</v>
      </c>
      <c r="F78" s="14">
        <v>6.85</v>
      </c>
      <c r="G78" s="15">
        <f t="shared" si="24"/>
        <v>194.86098357472187</v>
      </c>
      <c r="H78" s="15"/>
      <c r="I78" s="16"/>
      <c r="K78" s="26">
        <v>1.65</v>
      </c>
      <c r="L78" s="27">
        <f t="shared" si="18"/>
        <v>187.07437543217566</v>
      </c>
      <c r="M78" s="15">
        <f t="shared" si="19"/>
        <v>197.95674923254782</v>
      </c>
      <c r="N78" s="27">
        <v>0.1</v>
      </c>
      <c r="O78" s="27">
        <v>11145</v>
      </c>
      <c r="P78" s="27">
        <v>46.9</v>
      </c>
      <c r="Q78" s="44">
        <f t="shared" si="20"/>
        <v>52270050</v>
      </c>
      <c r="R78" s="44">
        <f t="shared" si="17"/>
        <v>9.7783869575585932E-3</v>
      </c>
      <c r="S78" s="44">
        <f t="shared" si="22"/>
        <v>0.17397724204135293</v>
      </c>
      <c r="T78" s="18">
        <f t="shared" si="21"/>
        <v>1.0347209180222736E-2</v>
      </c>
      <c r="U78" s="57">
        <f t="shared" si="23"/>
        <v>0.4537347245258288</v>
      </c>
      <c r="AB78" s="8"/>
      <c r="AC78" s="8"/>
      <c r="AV78" s="3"/>
    </row>
    <row r="79" spans="2:48" x14ac:dyDescent="0.3">
      <c r="B79" s="14">
        <v>87.5</v>
      </c>
      <c r="C79" s="15">
        <v>52</v>
      </c>
      <c r="D79" s="16">
        <v>38.9</v>
      </c>
      <c r="F79" s="14">
        <v>6.95</v>
      </c>
      <c r="G79" s="15">
        <f t="shared" si="24"/>
        <v>193.4540266617748</v>
      </c>
      <c r="H79" s="15"/>
      <c r="I79" s="16"/>
      <c r="K79" s="26">
        <v>1.75</v>
      </c>
      <c r="L79" s="27">
        <f t="shared" si="18"/>
        <v>186.03007662590008</v>
      </c>
      <c r="M79" s="15">
        <f t="shared" si="19"/>
        <v>188.24943949516245</v>
      </c>
      <c r="N79" s="27">
        <v>0.1</v>
      </c>
      <c r="O79" s="27">
        <v>11145</v>
      </c>
      <c r="P79" s="27">
        <v>46.9</v>
      </c>
      <c r="Q79" s="44">
        <f t="shared" si="20"/>
        <v>52270050</v>
      </c>
      <c r="R79" s="44">
        <f t="shared" si="17"/>
        <v>9.723801406739627E-3</v>
      </c>
      <c r="S79" s="44">
        <f t="shared" si="22"/>
        <v>0.18370104344809254</v>
      </c>
      <c r="T79" s="18">
        <f t="shared" si="21"/>
        <v>9.8398076148841149E-3</v>
      </c>
      <c r="U79" s="57">
        <f t="shared" si="23"/>
        <v>0.46357453214071292</v>
      </c>
      <c r="AB79" s="8"/>
      <c r="AC79" s="8"/>
      <c r="AV79" s="3"/>
    </row>
    <row r="80" spans="2:48" x14ac:dyDescent="0.3">
      <c r="B80" s="14">
        <v>87.5</v>
      </c>
      <c r="C80" s="15">
        <v>56</v>
      </c>
      <c r="D80" s="16">
        <v>53</v>
      </c>
      <c r="F80" s="14">
        <v>7.05</v>
      </c>
      <c r="G80" s="15">
        <f t="shared" si="24"/>
        <v>192.07711217445092</v>
      </c>
      <c r="H80" s="15"/>
      <c r="I80" s="16"/>
      <c r="K80" s="26">
        <v>1.85</v>
      </c>
      <c r="L80" s="27">
        <f t="shared" si="18"/>
        <v>184.99312032624405</v>
      </c>
      <c r="M80" s="15">
        <f t="shared" si="19"/>
        <v>179.47218720975252</v>
      </c>
      <c r="N80" s="27">
        <v>0.1</v>
      </c>
      <c r="O80" s="27">
        <v>11145</v>
      </c>
      <c r="P80" s="27">
        <v>46.9</v>
      </c>
      <c r="Q80" s="44">
        <f t="shared" si="20"/>
        <v>52270050</v>
      </c>
      <c r="R80" s="44">
        <f t="shared" si="17"/>
        <v>9.6695996491087937E-3</v>
      </c>
      <c r="S80" s="44">
        <f t="shared" si="22"/>
        <v>0.19337064309720134</v>
      </c>
      <c r="T80" s="18">
        <f t="shared" si="21"/>
        <v>9.3810201990631257E-3</v>
      </c>
      <c r="U80" s="57">
        <f t="shared" si="23"/>
        <v>0.47295555233977604</v>
      </c>
      <c r="AB80" s="8"/>
      <c r="AC80" s="8"/>
      <c r="AV80" s="3"/>
    </row>
    <row r="81" spans="2:48" x14ac:dyDescent="0.3">
      <c r="B81" s="14">
        <v>90</v>
      </c>
      <c r="C81" s="15">
        <v>56</v>
      </c>
      <c r="D81" s="16">
        <v>53</v>
      </c>
      <c r="F81" s="14">
        <v>7.15</v>
      </c>
      <c r="G81" s="15">
        <f t="shared" si="24"/>
        <v>190.72918596172528</v>
      </c>
      <c r="H81" s="15"/>
      <c r="I81" s="16"/>
      <c r="K81" s="26">
        <v>1.95</v>
      </c>
      <c r="L81" s="27">
        <f t="shared" si="18"/>
        <v>183.96346831668126</v>
      </c>
      <c r="M81" s="15">
        <f t="shared" si="19"/>
        <v>171.50218020563457</v>
      </c>
      <c r="N81" s="27">
        <v>0.1</v>
      </c>
      <c r="O81" s="27">
        <v>11145</v>
      </c>
      <c r="P81" s="27">
        <v>46.9</v>
      </c>
      <c r="Q81" s="44">
        <f t="shared" si="20"/>
        <v>52270050</v>
      </c>
      <c r="R81" s="44">
        <f t="shared" si="17"/>
        <v>9.6157796870863458E-3</v>
      </c>
      <c r="S81" s="44">
        <f t="shared" si="22"/>
        <v>0.20298642278428769</v>
      </c>
      <c r="T81" s="18">
        <f t="shared" si="21"/>
        <v>8.9644275344575291E-3</v>
      </c>
      <c r="U81" s="57">
        <f t="shared" si="23"/>
        <v>0.48191997987423357</v>
      </c>
      <c r="AB81" s="8"/>
      <c r="AC81" s="8"/>
      <c r="AV81" s="3"/>
    </row>
    <row r="82" spans="2:48" x14ac:dyDescent="0.3">
      <c r="B82" s="14">
        <v>90</v>
      </c>
      <c r="C82" s="15">
        <v>54.4</v>
      </c>
      <c r="D82" s="16">
        <v>55.1</v>
      </c>
      <c r="F82" s="14">
        <v>7.25</v>
      </c>
      <c r="G82" s="15">
        <f t="shared" si="24"/>
        <v>189.40924494059291</v>
      </c>
      <c r="H82" s="15"/>
      <c r="I82" s="16"/>
      <c r="K82" s="14"/>
      <c r="L82" s="15"/>
      <c r="M82" s="15"/>
      <c r="N82" s="18"/>
      <c r="O82" s="18"/>
      <c r="P82" s="15"/>
      <c r="Q82" s="15"/>
      <c r="R82" s="15"/>
      <c r="S82" s="15"/>
      <c r="T82" s="15"/>
      <c r="U82" s="16"/>
      <c r="AV82" s="3"/>
    </row>
    <row r="83" spans="2:48" ht="15" thickBot="1" x14ac:dyDescent="0.35">
      <c r="B83" s="14">
        <v>92.5</v>
      </c>
      <c r="C83" s="15">
        <v>54.4</v>
      </c>
      <c r="D83" s="16">
        <v>55.1</v>
      </c>
      <c r="F83" s="14">
        <v>7.35</v>
      </c>
      <c r="G83" s="15">
        <f t="shared" si="24"/>
        <v>188.11633395864595</v>
      </c>
      <c r="H83" s="15"/>
      <c r="I83" s="16"/>
      <c r="K83" s="22"/>
      <c r="L83" s="23"/>
      <c r="M83" s="23"/>
      <c r="N83" s="31"/>
      <c r="O83" s="31"/>
      <c r="P83" s="58" t="s">
        <v>126</v>
      </c>
      <c r="Q83" s="58"/>
      <c r="R83" s="59">
        <f>S71</f>
        <v>0.10436049086019952</v>
      </c>
      <c r="S83" s="58" t="s">
        <v>127</v>
      </c>
      <c r="T83" s="58"/>
      <c r="U83" s="60">
        <f>U71</f>
        <v>0.36664018514976221</v>
      </c>
      <c r="AV83" s="3"/>
    </row>
    <row r="84" spans="2:48" ht="15" thickBot="1" x14ac:dyDescent="0.35">
      <c r="B84" s="14">
        <v>92.5</v>
      </c>
      <c r="C84" s="15">
        <v>56.5</v>
      </c>
      <c r="D84" s="16">
        <v>56.8</v>
      </c>
      <c r="F84" s="14">
        <v>7.45</v>
      </c>
      <c r="G84" s="15">
        <f t="shared" si="24"/>
        <v>186.84954288906448</v>
      </c>
      <c r="H84" s="15"/>
      <c r="I84" s="16"/>
      <c r="N84" s="3"/>
      <c r="O84" s="3"/>
      <c r="AV84" s="3"/>
    </row>
    <row r="85" spans="2:48" ht="18" x14ac:dyDescent="0.3">
      <c r="B85" s="14">
        <v>95</v>
      </c>
      <c r="C85" s="15">
        <v>56.5</v>
      </c>
      <c r="D85" s="16">
        <v>56.8</v>
      </c>
      <c r="F85" s="14">
        <v>7.55</v>
      </c>
      <c r="G85" s="15">
        <f t="shared" si="24"/>
        <v>185.60800393794395</v>
      </c>
      <c r="H85" s="15"/>
      <c r="I85" s="16"/>
      <c r="K85" s="52" t="s">
        <v>44</v>
      </c>
      <c r="L85" s="41"/>
      <c r="M85" s="41"/>
      <c r="N85" s="41"/>
      <c r="O85" s="41"/>
      <c r="P85" s="41"/>
      <c r="Q85" s="41"/>
      <c r="R85" s="41"/>
      <c r="S85" s="25"/>
      <c r="T85" s="25"/>
      <c r="U85" s="13"/>
      <c r="AV85" s="3"/>
    </row>
    <row r="86" spans="2:48" x14ac:dyDescent="0.3">
      <c r="B86" s="14">
        <v>95</v>
      </c>
      <c r="C86" s="15">
        <v>55.1</v>
      </c>
      <c r="D86" s="16">
        <v>57.4</v>
      </c>
      <c r="F86" s="14">
        <v>7.65</v>
      </c>
      <c r="G86" s="15">
        <f t="shared" si="24"/>
        <v>184.39088914585773</v>
      </c>
      <c r="H86" s="15"/>
      <c r="I86" s="16"/>
      <c r="K86" s="26"/>
      <c r="L86" s="27"/>
      <c r="M86" s="27"/>
      <c r="N86" s="27"/>
      <c r="O86" s="27"/>
      <c r="P86" s="27"/>
      <c r="Q86" s="27"/>
      <c r="R86" s="27"/>
      <c r="S86" s="15"/>
      <c r="T86" s="15"/>
      <c r="U86" s="16"/>
      <c r="AV86" s="3"/>
    </row>
    <row r="87" spans="2:48" ht="16.8" x14ac:dyDescent="0.3">
      <c r="B87" s="14">
        <v>97.5</v>
      </c>
      <c r="C87" s="15">
        <v>55.1</v>
      </c>
      <c r="D87" s="16">
        <v>57.4</v>
      </c>
      <c r="F87" s="14">
        <v>7.75</v>
      </c>
      <c r="G87" s="15">
        <f t="shared" si="24"/>
        <v>183.19740806731042</v>
      </c>
      <c r="H87" s="15"/>
      <c r="I87" s="16"/>
      <c r="K87" s="55" t="s">
        <v>41</v>
      </c>
      <c r="L87" s="35" t="s">
        <v>116</v>
      </c>
      <c r="M87" s="35" t="s">
        <v>117</v>
      </c>
      <c r="N87" s="56" t="s">
        <v>118</v>
      </c>
      <c r="O87" s="35" t="s">
        <v>119</v>
      </c>
      <c r="P87" s="35" t="s">
        <v>120</v>
      </c>
      <c r="Q87" s="35" t="s">
        <v>121</v>
      </c>
      <c r="R87" s="35" t="s">
        <v>122</v>
      </c>
      <c r="S87" s="35" t="s">
        <v>123</v>
      </c>
      <c r="T87" s="35" t="s">
        <v>124</v>
      </c>
      <c r="U87" s="51" t="s">
        <v>125</v>
      </c>
      <c r="AV87" s="3"/>
    </row>
    <row r="88" spans="2:48" x14ac:dyDescent="0.3">
      <c r="B88" s="14">
        <v>97.5</v>
      </c>
      <c r="C88" s="15">
        <v>55</v>
      </c>
      <c r="D88" s="16">
        <v>51.9</v>
      </c>
      <c r="F88" s="14">
        <v>7.85</v>
      </c>
      <c r="G88" s="15">
        <f t="shared" si="24"/>
        <v>182.02680561330368</v>
      </c>
      <c r="H88" s="15"/>
      <c r="I88" s="16"/>
      <c r="K88" s="26">
        <v>0.05</v>
      </c>
      <c r="L88" s="27">
        <f>0.00000000042488*(K88^6)-0.000000253*(K88^5)+0.000058949*(K88^4)-0.0067857*(K88^3)+0.40168*(K88^2)-11.751*(K88)+205.4</f>
        <v>204.81345335215585</v>
      </c>
      <c r="M88" s="15">
        <f>I10</f>
        <v>2050.5094976227369</v>
      </c>
      <c r="N88" s="27">
        <v>0.1</v>
      </c>
      <c r="O88" s="27">
        <v>21700</v>
      </c>
      <c r="P88" s="37">
        <v>12.573265651438241</v>
      </c>
      <c r="Q88" s="44">
        <f>O88*P88*N88*1000</f>
        <v>27283986.463620987</v>
      </c>
      <c r="R88" s="44">
        <f t="shared" ref="R88:R107" si="25">Q88*L88/1000000000000</f>
        <v>5.5881274888276884E-3</v>
      </c>
      <c r="S88" s="44">
        <f>R88</f>
        <v>5.5881274888276884E-3</v>
      </c>
      <c r="T88" s="18">
        <f>Q88*M88/1000000000000</f>
        <v>5.5946073376665025E-2</v>
      </c>
      <c r="U88" s="57">
        <f>T88</f>
        <v>5.5946073376665025E-2</v>
      </c>
      <c r="AV88" s="3"/>
    </row>
    <row r="89" spans="2:48" x14ac:dyDescent="0.3">
      <c r="B89" s="14">
        <v>100</v>
      </c>
      <c r="C89" s="15">
        <v>55</v>
      </c>
      <c r="D89" s="16">
        <v>51.9</v>
      </c>
      <c r="F89" s="14">
        <v>7.95</v>
      </c>
      <c r="G89" s="15">
        <f t="shared" si="24"/>
        <v>180.87836004363672</v>
      </c>
      <c r="H89" s="15"/>
      <c r="I89" s="16"/>
      <c r="K89" s="26">
        <v>0.15</v>
      </c>
      <c r="L89" s="27">
        <f t="shared" ref="L89:L107" si="26">0.00000000042488*(K89^6)-0.000000253*(K89^5)+0.000058949*(K89^4)-0.0067857*(K89^3)+0.40168*(K89^2)-11.751*(K89)+205.4</f>
        <v>203.64636492808623</v>
      </c>
      <c r="M89" s="15">
        <f t="shared" ref="M89:M107" si="27">I11</f>
        <v>1088.6205389418644</v>
      </c>
      <c r="N89" s="27">
        <v>0.1</v>
      </c>
      <c r="O89" s="27">
        <v>21700</v>
      </c>
      <c r="P89" s="37">
        <v>12.573265651438241</v>
      </c>
      <c r="Q89" s="44">
        <f t="shared" ref="Q89:Q107" si="28">O89*P89*N89*1000</f>
        <v>27283986.463620987</v>
      </c>
      <c r="R89" s="44">
        <f t="shared" si="25"/>
        <v>5.5562846640635245E-3</v>
      </c>
      <c r="S89" s="44">
        <f>S88+R89</f>
        <v>1.1144412152891213E-2</v>
      </c>
      <c r="T89" s="18">
        <f t="shared" ref="T89:T107" si="29">Q89*M89/1000000000000</f>
        <v>2.9701908048509612E-2</v>
      </c>
      <c r="U89" s="57">
        <f>U88+T89</f>
        <v>8.564798142517463E-2</v>
      </c>
      <c r="AV89" s="3"/>
    </row>
    <row r="90" spans="2:48" x14ac:dyDescent="0.3">
      <c r="B90" s="14">
        <v>100</v>
      </c>
      <c r="C90" s="15">
        <v>56.4</v>
      </c>
      <c r="D90" s="16">
        <v>52.5</v>
      </c>
      <c r="F90" s="14">
        <v>8.0500000000000007</v>
      </c>
      <c r="G90" s="15">
        <f t="shared" si="24"/>
        <v>179.75138109681154</v>
      </c>
      <c r="H90" s="15"/>
      <c r="I90" s="16"/>
      <c r="K90" s="26">
        <v>0.25</v>
      </c>
      <c r="L90" s="27">
        <f t="shared" si="26"/>
        <v>202.48724920346007</v>
      </c>
      <c r="M90" s="15">
        <f t="shared" si="27"/>
        <v>793.87334503085458</v>
      </c>
      <c r="N90" s="27">
        <v>0.1</v>
      </c>
      <c r="O90" s="27">
        <v>21700</v>
      </c>
      <c r="P90" s="37">
        <v>12.5732656514382</v>
      </c>
      <c r="Q90" s="44">
        <f t="shared" si="28"/>
        <v>27283986.463620894</v>
      </c>
      <c r="R90" s="44">
        <f t="shared" si="25"/>
        <v>5.5246593663230356E-3</v>
      </c>
      <c r="S90" s="44">
        <f t="shared" ref="S90:S107" si="30">S89+R90</f>
        <v>1.6669071519214249E-2</v>
      </c>
      <c r="T90" s="18">
        <f t="shared" si="29"/>
        <v>2.1660029599651277E-2</v>
      </c>
      <c r="U90" s="57">
        <f t="shared" ref="U90:U107" si="31">U89+T90</f>
        <v>0.1073080110248259</v>
      </c>
      <c r="AV90" s="3"/>
    </row>
    <row r="91" spans="2:48" x14ac:dyDescent="0.3">
      <c r="B91" s="14">
        <v>102.5</v>
      </c>
      <c r="C91" s="15">
        <v>56.4</v>
      </c>
      <c r="D91" s="16">
        <v>52.5</v>
      </c>
      <c r="F91" s="14">
        <v>8.15</v>
      </c>
      <c r="G91" s="15">
        <f t="shared" si="24"/>
        <v>178.64520824653496</v>
      </c>
      <c r="H91" s="15"/>
      <c r="I91" s="16"/>
      <c r="K91" s="26">
        <v>0.35</v>
      </c>
      <c r="L91" s="27">
        <f t="shared" si="26"/>
        <v>201.3360657463879</v>
      </c>
      <c r="M91" s="15">
        <f t="shared" si="27"/>
        <v>637.9791029759333</v>
      </c>
      <c r="N91" s="27">
        <v>0.1</v>
      </c>
      <c r="O91" s="27">
        <v>21700</v>
      </c>
      <c r="P91" s="37">
        <v>12.5732656514382</v>
      </c>
      <c r="Q91" s="44">
        <f t="shared" si="28"/>
        <v>27283986.463620894</v>
      </c>
      <c r="R91" s="44">
        <f t="shared" si="25"/>
        <v>5.4932504924631335E-3</v>
      </c>
      <c r="S91" s="44">
        <f t="shared" si="30"/>
        <v>2.2162322011677383E-2</v>
      </c>
      <c r="T91" s="18">
        <f t="shared" si="29"/>
        <v>1.7406613209668364E-2</v>
      </c>
      <c r="U91" s="57">
        <f t="shared" si="31"/>
        <v>0.12471462423449427</v>
      </c>
      <c r="AV91" s="3"/>
    </row>
    <row r="92" spans="2:48" x14ac:dyDescent="0.3">
      <c r="B92" s="14">
        <v>102.5</v>
      </c>
      <c r="C92" s="15">
        <v>57.5</v>
      </c>
      <c r="D92" s="16">
        <v>51</v>
      </c>
      <c r="F92" s="14">
        <v>8.25</v>
      </c>
      <c r="G92" s="15">
        <f t="shared" si="24"/>
        <v>177.5592090748118</v>
      </c>
      <c r="H92" s="15"/>
      <c r="I92" s="16"/>
      <c r="K92" s="26">
        <v>0.45</v>
      </c>
      <c r="L92" s="27">
        <f t="shared" si="26"/>
        <v>200.19277426569991</v>
      </c>
      <c r="M92" s="15">
        <f t="shared" si="27"/>
        <v>538.21473757792137</v>
      </c>
      <c r="N92" s="27">
        <v>0.1</v>
      </c>
      <c r="O92" s="27">
        <v>21700</v>
      </c>
      <c r="P92" s="37">
        <v>12.5732656514382</v>
      </c>
      <c r="Q92" s="44">
        <f t="shared" si="28"/>
        <v>27283986.463620894</v>
      </c>
      <c r="R92" s="44">
        <f t="shared" si="25"/>
        <v>5.4620569431800695E-3</v>
      </c>
      <c r="S92" s="44">
        <f t="shared" si="30"/>
        <v>2.7624378954857452E-2</v>
      </c>
      <c r="T92" s="18">
        <f t="shared" si="29"/>
        <v>1.4684643614597278E-2</v>
      </c>
      <c r="U92" s="57">
        <f t="shared" si="31"/>
        <v>0.13939926784909154</v>
      </c>
      <c r="AV92" s="3"/>
    </row>
    <row r="93" spans="2:48" x14ac:dyDescent="0.3">
      <c r="B93" s="14">
        <v>105</v>
      </c>
      <c r="C93" s="15">
        <v>57.5</v>
      </c>
      <c r="D93" s="16">
        <v>51</v>
      </c>
      <c r="F93" s="14">
        <v>8.35</v>
      </c>
      <c r="G93" s="15">
        <f t="shared" si="24"/>
        <v>176.49277775252563</v>
      </c>
      <c r="H93" s="15"/>
      <c r="I93" s="16"/>
      <c r="K93" s="26">
        <v>0.55000000000000004</v>
      </c>
      <c r="L93" s="27">
        <f t="shared" si="26"/>
        <v>199.0573346106431</v>
      </c>
      <c r="M93" s="15">
        <f t="shared" si="27"/>
        <v>467.64695906283987</v>
      </c>
      <c r="N93" s="27">
        <v>0.1</v>
      </c>
      <c r="O93" s="27">
        <v>21700</v>
      </c>
      <c r="P93" s="37">
        <v>12.5732656514382</v>
      </c>
      <c r="Q93" s="44">
        <f t="shared" si="28"/>
        <v>27283986.463620894</v>
      </c>
      <c r="R93" s="44">
        <f t="shared" si="25"/>
        <v>5.4310776230012403E-3</v>
      </c>
      <c r="S93" s="44">
        <f t="shared" si="30"/>
        <v>3.3055456577858688E-2</v>
      </c>
      <c r="T93" s="18">
        <f t="shared" si="29"/>
        <v>1.2759273300823997E-2</v>
      </c>
      <c r="U93" s="57">
        <f t="shared" si="31"/>
        <v>0.15215854114991553</v>
      </c>
      <c r="AV93" s="3"/>
    </row>
    <row r="94" spans="2:48" x14ac:dyDescent="0.3">
      <c r="B94" s="14">
        <v>105</v>
      </c>
      <c r="C94" s="15">
        <v>55.7</v>
      </c>
      <c r="D94" s="16">
        <v>53.9</v>
      </c>
      <c r="F94" s="14">
        <v>8.4499999999999993</v>
      </c>
      <c r="G94" s="15">
        <f t="shared" si="24"/>
        <v>175.4453336192143</v>
      </c>
      <c r="H94" s="15"/>
      <c r="I94" s="16"/>
      <c r="K94" s="26">
        <v>0.65</v>
      </c>
      <c r="L94" s="27">
        <f t="shared" si="26"/>
        <v>197.92970677057912</v>
      </c>
      <c r="M94" s="15">
        <f t="shared" si="27"/>
        <v>414.5334984961512</v>
      </c>
      <c r="N94" s="27">
        <v>0.1</v>
      </c>
      <c r="O94" s="27">
        <v>21700</v>
      </c>
      <c r="P94" s="37">
        <v>12.5732656514382</v>
      </c>
      <c r="Q94" s="44">
        <f t="shared" si="28"/>
        <v>27283986.463620894</v>
      </c>
      <c r="R94" s="44">
        <f t="shared" si="25"/>
        <v>5.4003114402769335E-3</v>
      </c>
      <c r="S94" s="44">
        <f t="shared" si="30"/>
        <v>3.8455768018135619E-2</v>
      </c>
      <c r="T94" s="18">
        <f t="shared" si="29"/>
        <v>1.1310126361686402E-2</v>
      </c>
      <c r="U94" s="57">
        <f t="shared" si="31"/>
        <v>0.16346866751160194</v>
      </c>
      <c r="AV94" s="3"/>
    </row>
    <row r="95" spans="2:48" x14ac:dyDescent="0.3">
      <c r="B95" s="14">
        <v>107.5</v>
      </c>
      <c r="C95" s="15">
        <v>55.7</v>
      </c>
      <c r="D95" s="16">
        <v>53.9</v>
      </c>
      <c r="F95" s="14">
        <v>8.5500000000000007</v>
      </c>
      <c r="G95" s="15">
        <f t="shared" si="24"/>
        <v>174.4163198544762</v>
      </c>
      <c r="H95" s="15"/>
      <c r="I95" s="16"/>
      <c r="K95" s="26">
        <v>0.75</v>
      </c>
      <c r="L95" s="27">
        <f t="shared" si="26"/>
        <v>196.80985087468207</v>
      </c>
      <c r="M95" s="15">
        <f t="shared" si="27"/>
        <v>372.828823086375</v>
      </c>
      <c r="N95" s="27">
        <v>0.1</v>
      </c>
      <c r="O95" s="27">
        <v>21700</v>
      </c>
      <c r="P95" s="37">
        <v>12.5732656514382</v>
      </c>
      <c r="Q95" s="44">
        <f t="shared" si="28"/>
        <v>27283986.463620894</v>
      </c>
      <c r="R95" s="44">
        <f t="shared" si="25"/>
        <v>5.3697573071720727E-3</v>
      </c>
      <c r="S95" s="44">
        <f t="shared" si="30"/>
        <v>4.3825525325307695E-2</v>
      </c>
      <c r="T95" s="18">
        <f t="shared" si="29"/>
        <v>1.0172256562336364E-2</v>
      </c>
      <c r="U95" s="57">
        <f t="shared" si="31"/>
        <v>0.1736409240739383</v>
      </c>
      <c r="AV95" s="3"/>
    </row>
    <row r="96" spans="2:48" x14ac:dyDescent="0.3">
      <c r="B96" s="14">
        <v>107.5</v>
      </c>
      <c r="C96" s="15">
        <v>54.2</v>
      </c>
      <c r="D96" s="16">
        <v>53.2</v>
      </c>
      <c r="F96" s="14">
        <v>8.65</v>
      </c>
      <c r="G96" s="15">
        <f t="shared" si="24"/>
        <v>173.40520223410172</v>
      </c>
      <c r="H96" s="15"/>
      <c r="I96" s="16"/>
      <c r="K96" s="26">
        <v>0.85</v>
      </c>
      <c r="L96" s="27">
        <f t="shared" si="26"/>
        <v>195.69772719163674</v>
      </c>
      <c r="M96" s="15">
        <f t="shared" si="27"/>
        <v>339.06151962035653</v>
      </c>
      <c r="N96" s="27">
        <v>0.1</v>
      </c>
      <c r="O96" s="27">
        <v>21700</v>
      </c>
      <c r="P96" s="37">
        <v>12.5732656514382</v>
      </c>
      <c r="Q96" s="44">
        <f t="shared" si="28"/>
        <v>27283986.463620894</v>
      </c>
      <c r="R96" s="44">
        <f t="shared" si="25"/>
        <v>5.3394141396579916E-3</v>
      </c>
      <c r="S96" s="44">
        <f t="shared" si="30"/>
        <v>4.9164939464965689E-2</v>
      </c>
      <c r="T96" s="18">
        <f t="shared" si="29"/>
        <v>9.2509499116565381E-3</v>
      </c>
      <c r="U96" s="57">
        <f t="shared" si="31"/>
        <v>0.18289187398559484</v>
      </c>
      <c r="AV96" s="3"/>
    </row>
    <row r="97" spans="2:48" x14ac:dyDescent="0.3">
      <c r="B97" s="14">
        <v>110</v>
      </c>
      <c r="C97" s="15">
        <v>54.2</v>
      </c>
      <c r="D97" s="16">
        <v>53.2</v>
      </c>
      <c r="F97" s="14">
        <v>8.75</v>
      </c>
      <c r="G97" s="15">
        <f t="shared" si="24"/>
        <v>172.41146796461737</v>
      </c>
      <c r="H97" s="15"/>
      <c r="I97" s="16"/>
      <c r="K97" s="26">
        <v>0.95</v>
      </c>
      <c r="L97" s="27">
        <f t="shared" si="26"/>
        <v>194.59329612933718</v>
      </c>
      <c r="M97" s="15">
        <f t="shared" si="27"/>
        <v>311.07738474953197</v>
      </c>
      <c r="N97" s="27">
        <v>0.1</v>
      </c>
      <c r="O97" s="27">
        <v>21700</v>
      </c>
      <c r="P97" s="37">
        <v>12.5732656514382</v>
      </c>
      <c r="Q97" s="44">
        <f t="shared" si="28"/>
        <v>27283986.463620894</v>
      </c>
      <c r="R97" s="44">
        <f t="shared" si="25"/>
        <v>5.3092808575042078E-3</v>
      </c>
      <c r="S97" s="44">
        <f t="shared" si="30"/>
        <v>5.4474220322469895E-2</v>
      </c>
      <c r="T97" s="18">
        <f t="shared" si="29"/>
        <v>8.4874311546448197E-3</v>
      </c>
      <c r="U97" s="57">
        <f t="shared" si="31"/>
        <v>0.19137930514023965</v>
      </c>
      <c r="AV97" s="3"/>
    </row>
    <row r="98" spans="2:48" x14ac:dyDescent="0.3">
      <c r="B98" s="14">
        <v>110</v>
      </c>
      <c r="C98" s="15">
        <v>58.2</v>
      </c>
      <c r="D98" s="16">
        <v>55</v>
      </c>
      <c r="F98" s="14">
        <v>8.85</v>
      </c>
      <c r="G98" s="15">
        <f t="shared" si="24"/>
        <v>171.43462459046765</v>
      </c>
      <c r="H98" s="15"/>
      <c r="I98" s="16"/>
      <c r="K98" s="26">
        <v>1.05</v>
      </c>
      <c r="L98" s="27">
        <f t="shared" si="26"/>
        <v>193.49651823458558</v>
      </c>
      <c r="M98" s="15">
        <f t="shared" si="27"/>
        <v>287.45946534381744</v>
      </c>
      <c r="N98" s="27">
        <v>0.1</v>
      </c>
      <c r="O98" s="27">
        <v>21700</v>
      </c>
      <c r="P98" s="37">
        <v>12.5732656514382</v>
      </c>
      <c r="Q98" s="44">
        <f t="shared" si="28"/>
        <v>27283986.463620894</v>
      </c>
      <c r="R98" s="44">
        <f t="shared" si="25"/>
        <v>5.2793563842702066E-3</v>
      </c>
      <c r="S98" s="44">
        <f t="shared" si="30"/>
        <v>5.97535767067401E-2</v>
      </c>
      <c r="T98" s="18">
        <f t="shared" si="29"/>
        <v>7.8430401612804151E-3</v>
      </c>
      <c r="U98" s="57">
        <f t="shared" si="31"/>
        <v>0.19922234530152005</v>
      </c>
      <c r="AV98" s="3"/>
    </row>
    <row r="99" spans="2:48" x14ac:dyDescent="0.3">
      <c r="B99" s="14">
        <v>112.5</v>
      </c>
      <c r="C99" s="15">
        <v>58.2</v>
      </c>
      <c r="D99" s="16">
        <v>55</v>
      </c>
      <c r="F99" s="14">
        <v>8.9499999999999993</v>
      </c>
      <c r="G99" s="15">
        <f t="shared" si="24"/>
        <v>170.47419896854328</v>
      </c>
      <c r="H99" s="15"/>
      <c r="I99" s="16"/>
      <c r="K99" s="26">
        <v>1.1499999999999999</v>
      </c>
      <c r="L99" s="27">
        <f t="shared" si="26"/>
        <v>192.40735419279133</v>
      </c>
      <c r="M99" s="15">
        <f t="shared" si="27"/>
        <v>267.23247240939293</v>
      </c>
      <c r="N99" s="27">
        <v>0.1</v>
      </c>
      <c r="O99" s="27">
        <v>21700</v>
      </c>
      <c r="P99" s="37">
        <v>12.5732656514382</v>
      </c>
      <c r="Q99" s="44">
        <f t="shared" si="28"/>
        <v>27283986.463620894</v>
      </c>
      <c r="R99" s="44">
        <f t="shared" si="25"/>
        <v>5.2496396472972301E-3</v>
      </c>
      <c r="S99" s="44">
        <f t="shared" si="30"/>
        <v>6.500321635403733E-2</v>
      </c>
      <c r="T99" s="18">
        <f t="shared" si="29"/>
        <v>7.2911671598578209E-3</v>
      </c>
      <c r="U99" s="57">
        <f t="shared" si="31"/>
        <v>0.20651351246137786</v>
      </c>
      <c r="AV99" s="3"/>
    </row>
    <row r="100" spans="2:48" x14ac:dyDescent="0.3">
      <c r="B100" s="14">
        <v>112.5</v>
      </c>
      <c r="C100" s="15">
        <v>50.1</v>
      </c>
      <c r="D100" s="16">
        <v>44</v>
      </c>
      <c r="F100" s="14">
        <v>9.0500000000000007</v>
      </c>
      <c r="G100" s="15">
        <f t="shared" si="24"/>
        <v>169.52973630520609</v>
      </c>
      <c r="H100" s="15"/>
      <c r="I100" s="16"/>
      <c r="K100" s="26">
        <v>1.25</v>
      </c>
      <c r="L100" s="27">
        <f t="shared" si="26"/>
        <v>191.32576482767061</v>
      </c>
      <c r="M100" s="15">
        <f t="shared" si="27"/>
        <v>249.70022651671991</v>
      </c>
      <c r="N100" s="27">
        <v>0.1</v>
      </c>
      <c r="O100" s="27">
        <v>21700</v>
      </c>
      <c r="P100" s="37">
        <v>12.5732656514382</v>
      </c>
      <c r="Q100" s="44">
        <f t="shared" si="28"/>
        <v>27283986.463620894</v>
      </c>
      <c r="R100" s="44">
        <f t="shared" si="25"/>
        <v>5.2201295777000792E-3</v>
      </c>
      <c r="S100" s="44">
        <f t="shared" si="30"/>
        <v>7.0223345931737402E-2</v>
      </c>
      <c r="T100" s="18">
        <f t="shared" si="29"/>
        <v>6.8128176002452577E-3</v>
      </c>
      <c r="U100" s="57">
        <f t="shared" si="31"/>
        <v>0.21332633006162313</v>
      </c>
      <c r="AV100" s="3"/>
    </row>
    <row r="101" spans="2:48" x14ac:dyDescent="0.3">
      <c r="B101" s="14">
        <v>115</v>
      </c>
      <c r="C101" s="15">
        <v>50.1</v>
      </c>
      <c r="D101" s="16">
        <v>44</v>
      </c>
      <c r="F101" s="14">
        <v>9.15</v>
      </c>
      <c r="G101" s="15">
        <f t="shared" si="24"/>
        <v>168.60079925135798</v>
      </c>
      <c r="H101" s="15"/>
      <c r="I101" s="16"/>
      <c r="K101" s="26">
        <v>1.35</v>
      </c>
      <c r="L101" s="27">
        <f t="shared" si="26"/>
        <v>190.25171110094595</v>
      </c>
      <c r="M101" s="15">
        <f t="shared" si="27"/>
        <v>234.35071370164204</v>
      </c>
      <c r="N101" s="27">
        <v>0.1</v>
      </c>
      <c r="O101" s="27">
        <v>21700</v>
      </c>
      <c r="P101" s="37">
        <v>12.5732656514382</v>
      </c>
      <c r="Q101" s="44">
        <f t="shared" si="28"/>
        <v>27283986.463620894</v>
      </c>
      <c r="R101" s="44">
        <f t="shared" si="25"/>
        <v>5.1908251103589221E-3</v>
      </c>
      <c r="S101" s="44">
        <f t="shared" si="30"/>
        <v>7.5414171042096328E-2</v>
      </c>
      <c r="T101" s="18">
        <f t="shared" si="29"/>
        <v>6.3940217003754969E-3</v>
      </c>
      <c r="U101" s="57">
        <f t="shared" si="31"/>
        <v>0.21972035176199864</v>
      </c>
      <c r="AV101" s="3"/>
    </row>
    <row r="102" spans="2:48" x14ac:dyDescent="0.3">
      <c r="B102" s="14">
        <v>115</v>
      </c>
      <c r="C102" s="15">
        <v>56</v>
      </c>
      <c r="D102" s="16">
        <v>53.2</v>
      </c>
      <c r="F102" s="14">
        <v>9.25</v>
      </c>
      <c r="G102" s="15">
        <f t="shared" si="24"/>
        <v>167.68696705146445</v>
      </c>
      <c r="H102" s="15"/>
      <c r="I102" s="16"/>
      <c r="K102" s="26">
        <v>1.45</v>
      </c>
      <c r="L102" s="27">
        <f t="shared" si="26"/>
        <v>189.1851541120466</v>
      </c>
      <c r="M102" s="15">
        <f t="shared" si="27"/>
        <v>220.79784841083364</v>
      </c>
      <c r="N102" s="27">
        <v>0.1</v>
      </c>
      <c r="O102" s="27">
        <v>21700</v>
      </c>
      <c r="P102" s="37">
        <v>12.5732656514382</v>
      </c>
      <c r="Q102" s="44">
        <f t="shared" si="28"/>
        <v>27283986.463620894</v>
      </c>
      <c r="R102" s="44">
        <f t="shared" si="25"/>
        <v>5.1617251839111119E-3</v>
      </c>
      <c r="S102" s="44">
        <f t="shared" si="30"/>
        <v>8.0575896226007443E-2</v>
      </c>
      <c r="T102" s="18">
        <f t="shared" si="29"/>
        <v>6.0242455072378031E-3</v>
      </c>
      <c r="U102" s="57">
        <f t="shared" si="31"/>
        <v>0.22574459726923643</v>
      </c>
      <c r="AV102" s="3"/>
    </row>
    <row r="103" spans="2:48" x14ac:dyDescent="0.3">
      <c r="B103" s="14">
        <v>117.5</v>
      </c>
      <c r="C103" s="15">
        <v>56</v>
      </c>
      <c r="D103" s="16">
        <v>53.2</v>
      </c>
      <c r="F103" s="14">
        <v>9.35</v>
      </c>
      <c r="G103" s="15">
        <f t="shared" si="24"/>
        <v>166.7878347427708</v>
      </c>
      <c r="H103" s="15"/>
      <c r="I103" s="16"/>
      <c r="K103" s="26">
        <v>1.55</v>
      </c>
      <c r="L103" s="27">
        <f t="shared" si="26"/>
        <v>188.1260550978086</v>
      </c>
      <c r="M103" s="15">
        <f t="shared" si="27"/>
        <v>208.7442703957463</v>
      </c>
      <c r="N103" s="27">
        <v>0.1</v>
      </c>
      <c r="O103" s="27">
        <v>21700</v>
      </c>
      <c r="P103" s="37">
        <v>12.5732656514382</v>
      </c>
      <c r="Q103" s="44">
        <f t="shared" si="28"/>
        <v>27283986.463620894</v>
      </c>
      <c r="R103" s="44">
        <f t="shared" si="25"/>
        <v>5.1328287407430085E-3</v>
      </c>
      <c r="S103" s="44">
        <f t="shared" si="30"/>
        <v>8.5708724966750457E-2</v>
      </c>
      <c r="T103" s="18">
        <f t="shared" si="29"/>
        <v>5.6953758478359611E-3</v>
      </c>
      <c r="U103" s="57">
        <f t="shared" si="31"/>
        <v>0.2314399731170724</v>
      </c>
      <c r="AV103" s="3"/>
    </row>
    <row r="104" spans="2:48" x14ac:dyDescent="0.3">
      <c r="B104" s="14">
        <v>117.5</v>
      </c>
      <c r="C104" s="15">
        <v>45.7</v>
      </c>
      <c r="D104" s="16">
        <v>45.6</v>
      </c>
      <c r="F104" s="14">
        <v>9.4499999999999993</v>
      </c>
      <c r="G104" s="15">
        <f t="shared" si="24"/>
        <v>165.90301240125063</v>
      </c>
      <c r="H104" s="15"/>
      <c r="I104" s="16"/>
      <c r="K104" s="26">
        <v>1.65</v>
      </c>
      <c r="L104" s="27">
        <f t="shared" si="26"/>
        <v>187.07437543217566</v>
      </c>
      <c r="M104" s="15">
        <f t="shared" si="27"/>
        <v>197.95674923254782</v>
      </c>
      <c r="N104" s="27">
        <v>0.1</v>
      </c>
      <c r="O104" s="27">
        <v>21700</v>
      </c>
      <c r="P104" s="37">
        <v>12.5732656514382</v>
      </c>
      <c r="Q104" s="44">
        <f t="shared" si="28"/>
        <v>27283986.463620894</v>
      </c>
      <c r="R104" s="44">
        <f t="shared" si="25"/>
        <v>5.104134726981813E-3</v>
      </c>
      <c r="S104" s="44">
        <f t="shared" si="30"/>
        <v>9.0812859693732276E-2</v>
      </c>
      <c r="T104" s="18">
        <f t="shared" si="29"/>
        <v>5.401049266443231E-3</v>
      </c>
      <c r="U104" s="57">
        <f t="shared" si="31"/>
        <v>0.23684102238351562</v>
      </c>
      <c r="AV104" s="3"/>
    </row>
    <row r="105" spans="2:48" x14ac:dyDescent="0.3">
      <c r="B105" s="14">
        <v>120</v>
      </c>
      <c r="C105" s="15">
        <v>45.7</v>
      </c>
      <c r="D105" s="16">
        <v>45.6</v>
      </c>
      <c r="F105" s="14">
        <v>9.5500000000000007</v>
      </c>
      <c r="G105" s="15">
        <f t="shared" si="24"/>
        <v>165.03212443109626</v>
      </c>
      <c r="H105" s="15"/>
      <c r="I105" s="16"/>
      <c r="K105" s="26">
        <v>1.75</v>
      </c>
      <c r="L105" s="27">
        <f t="shared" si="26"/>
        <v>186.03007662590008</v>
      </c>
      <c r="M105" s="15">
        <f t="shared" si="27"/>
        <v>188.24943949516245</v>
      </c>
      <c r="N105" s="27">
        <v>0.1</v>
      </c>
      <c r="O105" s="27">
        <v>21700</v>
      </c>
      <c r="P105" s="37">
        <v>12.5732656514382</v>
      </c>
      <c r="Q105" s="44">
        <f t="shared" si="28"/>
        <v>27283986.463620894</v>
      </c>
      <c r="R105" s="44">
        <f t="shared" si="25"/>
        <v>5.0756420924874153E-3</v>
      </c>
      <c r="S105" s="44">
        <f t="shared" si="30"/>
        <v>9.5888501786219688E-2</v>
      </c>
      <c r="T105" s="18">
        <f t="shared" si="29"/>
        <v>5.1361951589702333E-3</v>
      </c>
      <c r="U105" s="57">
        <f t="shared" si="31"/>
        <v>0.24197721754248586</v>
      </c>
      <c r="AV105" s="3"/>
    </row>
    <row r="106" spans="2:48" x14ac:dyDescent="0.3">
      <c r="B106" s="14">
        <v>120</v>
      </c>
      <c r="C106" s="15">
        <v>53.6</v>
      </c>
      <c r="D106" s="16">
        <v>52.9</v>
      </c>
      <c r="F106" s="14">
        <v>9.65</v>
      </c>
      <c r="G106" s="15">
        <f t="shared" ref="G106:G109" si="32">$G$4/(F106^(1/2))</f>
        <v>164.17480889481087</v>
      </c>
      <c r="H106" s="15"/>
      <c r="I106" s="16"/>
      <c r="K106" s="26">
        <v>1.85</v>
      </c>
      <c r="L106" s="27">
        <f t="shared" si="26"/>
        <v>184.99312032624405</v>
      </c>
      <c r="M106" s="15">
        <f t="shared" si="27"/>
        <v>179.47218720975252</v>
      </c>
      <c r="N106" s="27">
        <v>0.1</v>
      </c>
      <c r="O106" s="27">
        <v>21700</v>
      </c>
      <c r="P106" s="37">
        <v>12.5732656514382</v>
      </c>
      <c r="Q106" s="44">
        <f t="shared" si="28"/>
        <v>27283986.463620894</v>
      </c>
      <c r="R106" s="44">
        <f t="shared" si="25"/>
        <v>5.0473497908442334E-3</v>
      </c>
      <c r="S106" s="44">
        <f t="shared" si="30"/>
        <v>0.10093585157706392</v>
      </c>
      <c r="T106" s="18">
        <f t="shared" si="29"/>
        <v>4.8967167264273226E-3</v>
      </c>
      <c r="U106" s="57">
        <f t="shared" si="31"/>
        <v>0.24687393426891319</v>
      </c>
      <c r="AV106" s="3"/>
    </row>
    <row r="107" spans="2:48" x14ac:dyDescent="0.3">
      <c r="B107" s="14">
        <v>122.5</v>
      </c>
      <c r="C107" s="15">
        <v>53.6</v>
      </c>
      <c r="D107" s="16">
        <v>52.9</v>
      </c>
      <c r="F107" s="14">
        <v>9.75</v>
      </c>
      <c r="G107" s="15">
        <f t="shared" si="32"/>
        <v>163.33071688118886</v>
      </c>
      <c r="H107" s="15"/>
      <c r="I107" s="16"/>
      <c r="K107" s="26">
        <v>1.95</v>
      </c>
      <c r="L107" s="27">
        <f t="shared" si="26"/>
        <v>183.96346831668126</v>
      </c>
      <c r="M107" s="15">
        <f t="shared" si="27"/>
        <v>171.50218020563457</v>
      </c>
      <c r="N107" s="27">
        <v>0.1</v>
      </c>
      <c r="O107" s="27">
        <v>21700</v>
      </c>
      <c r="P107" s="37">
        <v>12.5732656514382</v>
      </c>
      <c r="Q107" s="44">
        <f t="shared" si="28"/>
        <v>27283986.463620894</v>
      </c>
      <c r="R107" s="44">
        <f t="shared" si="25"/>
        <v>5.0192567793530827E-3</v>
      </c>
      <c r="S107" s="44">
        <f t="shared" si="30"/>
        <v>0.105955108356417</v>
      </c>
      <c r="T107" s="18">
        <f t="shared" si="29"/>
        <v>4.679263163212005E-3</v>
      </c>
      <c r="U107" s="57">
        <f t="shared" si="31"/>
        <v>0.25155319743212518</v>
      </c>
      <c r="AV107" s="3"/>
    </row>
    <row r="108" spans="2:48" x14ac:dyDescent="0.3">
      <c r="B108" s="14">
        <v>122.5</v>
      </c>
      <c r="C108" s="15">
        <v>53.6</v>
      </c>
      <c r="D108" s="16">
        <v>53.7</v>
      </c>
      <c r="F108" s="14">
        <v>9.85</v>
      </c>
      <c r="G108" s="15">
        <f t="shared" si="32"/>
        <v>162.49951190867736</v>
      </c>
      <c r="H108" s="15"/>
      <c r="I108" s="16"/>
      <c r="K108" s="14"/>
      <c r="L108" s="15"/>
      <c r="M108" s="15"/>
      <c r="N108" s="18"/>
      <c r="O108" s="18"/>
      <c r="P108" s="15"/>
      <c r="Q108" s="15"/>
      <c r="R108" s="15"/>
      <c r="S108" s="15"/>
      <c r="T108" s="15"/>
      <c r="U108" s="57"/>
      <c r="AV108" s="3"/>
    </row>
    <row r="109" spans="2:48" ht="15" thickBot="1" x14ac:dyDescent="0.35">
      <c r="B109" s="14">
        <v>125</v>
      </c>
      <c r="C109" s="15">
        <v>53.6</v>
      </c>
      <c r="D109" s="16">
        <v>53.7</v>
      </c>
      <c r="F109" s="14">
        <v>9.9499999999999993</v>
      </c>
      <c r="G109" s="15">
        <f t="shared" si="32"/>
        <v>161.68086936180157</v>
      </c>
      <c r="H109" s="15"/>
      <c r="I109" s="16"/>
      <c r="K109" s="22"/>
      <c r="L109" s="23"/>
      <c r="M109" s="23"/>
      <c r="N109" s="31"/>
      <c r="O109" s="31"/>
      <c r="P109" s="58" t="s">
        <v>126</v>
      </c>
      <c r="Q109" s="58"/>
      <c r="R109" s="59">
        <f>S97</f>
        <v>5.4474220322469895E-2</v>
      </c>
      <c r="S109" s="58" t="s">
        <v>127</v>
      </c>
      <c r="T109" s="58"/>
      <c r="U109" s="60">
        <f>U97</f>
        <v>0.19137930514023965</v>
      </c>
      <c r="AV109" s="3"/>
    </row>
    <row r="110" spans="2:48" x14ac:dyDescent="0.3">
      <c r="B110" s="14">
        <v>125</v>
      </c>
      <c r="C110" s="15">
        <v>50.3</v>
      </c>
      <c r="D110" s="16">
        <v>49</v>
      </c>
      <c r="F110" s="14">
        <v>10</v>
      </c>
      <c r="G110" s="15">
        <f t="shared" ref="G110:G141" si="33">$G$4/(F110^(1/2))</f>
        <v>161.27616066858732</v>
      </c>
      <c r="H110" s="15"/>
      <c r="I110" s="16"/>
      <c r="N110" s="3"/>
      <c r="O110" s="3"/>
      <c r="AV110" s="3"/>
    </row>
    <row r="111" spans="2:48" x14ac:dyDescent="0.3">
      <c r="B111" s="14">
        <v>127.5</v>
      </c>
      <c r="C111" s="15">
        <v>50.3</v>
      </c>
      <c r="D111" s="16">
        <v>49</v>
      </c>
      <c r="F111" s="14">
        <v>15</v>
      </c>
      <c r="G111" s="15">
        <f t="shared" si="33"/>
        <v>131.68143377105216</v>
      </c>
      <c r="H111" s="15"/>
      <c r="I111" s="16"/>
      <c r="N111" s="3"/>
      <c r="O111" s="3"/>
      <c r="AV111" s="3"/>
    </row>
    <row r="112" spans="2:48" x14ac:dyDescent="0.3">
      <c r="B112" s="14">
        <v>127.5</v>
      </c>
      <c r="C112" s="15">
        <v>50</v>
      </c>
      <c r="D112" s="16">
        <v>51.1</v>
      </c>
      <c r="F112" s="14">
        <v>20</v>
      </c>
      <c r="G112" s="15">
        <f t="shared" si="33"/>
        <v>114.03946685248927</v>
      </c>
      <c r="H112" s="15"/>
      <c r="I112" s="16"/>
      <c r="N112" s="3"/>
      <c r="O112" s="3"/>
      <c r="AV112" s="3"/>
    </row>
    <row r="113" spans="2:48" x14ac:dyDescent="0.3">
      <c r="B113" s="14">
        <v>130</v>
      </c>
      <c r="C113" s="15">
        <v>50</v>
      </c>
      <c r="D113" s="16">
        <v>51.1</v>
      </c>
      <c r="F113" s="14">
        <v>25</v>
      </c>
      <c r="G113" s="15">
        <f t="shared" si="33"/>
        <v>102</v>
      </c>
      <c r="H113" s="15"/>
      <c r="I113" s="16"/>
      <c r="N113" s="3"/>
      <c r="O113" s="3"/>
      <c r="AV113" s="3"/>
    </row>
    <row r="114" spans="2:48" x14ac:dyDescent="0.3">
      <c r="B114" s="14">
        <v>130</v>
      </c>
      <c r="C114" s="15">
        <v>53.6</v>
      </c>
      <c r="D114" s="16">
        <v>48.4</v>
      </c>
      <c r="F114" s="14">
        <v>30</v>
      </c>
      <c r="G114" s="15">
        <f t="shared" si="33"/>
        <v>93.112834775878241</v>
      </c>
      <c r="H114" s="15"/>
      <c r="I114" s="16"/>
      <c r="N114" s="3"/>
      <c r="O114" s="3"/>
      <c r="AV114" s="3"/>
    </row>
    <row r="115" spans="2:48" x14ac:dyDescent="0.3">
      <c r="B115" s="14">
        <v>132.5</v>
      </c>
      <c r="C115" s="15">
        <v>53.6</v>
      </c>
      <c r="D115" s="16">
        <v>48.4</v>
      </c>
      <c r="F115" s="14">
        <v>35</v>
      </c>
      <c r="G115" s="15">
        <f t="shared" si="33"/>
        <v>86.205733982308686</v>
      </c>
      <c r="H115" s="15"/>
      <c r="I115" s="16"/>
      <c r="N115" s="3"/>
      <c r="O115" s="3"/>
      <c r="AV115" s="3"/>
    </row>
    <row r="116" spans="2:48" x14ac:dyDescent="0.3">
      <c r="B116" s="14">
        <v>132.5</v>
      </c>
      <c r="C116" s="15">
        <v>51.1</v>
      </c>
      <c r="D116" s="16">
        <v>48.5</v>
      </c>
      <c r="F116" s="14">
        <v>40</v>
      </c>
      <c r="G116" s="15">
        <f t="shared" si="33"/>
        <v>80.638080334293662</v>
      </c>
      <c r="H116" s="15"/>
      <c r="I116" s="16"/>
      <c r="N116" s="3"/>
      <c r="O116" s="3"/>
      <c r="AV116" s="3"/>
    </row>
    <row r="117" spans="2:48" x14ac:dyDescent="0.3">
      <c r="B117" s="14">
        <v>135</v>
      </c>
      <c r="C117" s="15">
        <v>51.1</v>
      </c>
      <c r="D117" s="16">
        <v>48.5</v>
      </c>
      <c r="F117" s="14">
        <v>45</v>
      </c>
      <c r="G117" s="15">
        <f t="shared" si="33"/>
        <v>76.026311234992846</v>
      </c>
      <c r="H117" s="15"/>
      <c r="I117" s="16"/>
      <c r="N117" s="3"/>
      <c r="O117" s="3"/>
      <c r="AV117" s="3"/>
    </row>
    <row r="118" spans="2:48" x14ac:dyDescent="0.3">
      <c r="B118" s="14">
        <v>135</v>
      </c>
      <c r="C118" s="15">
        <v>49.3</v>
      </c>
      <c r="D118" s="16">
        <v>49.7</v>
      </c>
      <c r="F118" s="14">
        <v>50</v>
      </c>
      <c r="G118" s="15">
        <f t="shared" si="33"/>
        <v>72.124891681027847</v>
      </c>
      <c r="H118" s="15"/>
      <c r="I118" s="16"/>
      <c r="N118" s="3"/>
      <c r="O118" s="3"/>
      <c r="AV118" s="3"/>
    </row>
    <row r="119" spans="2:48" x14ac:dyDescent="0.3">
      <c r="B119" s="14">
        <v>137.5</v>
      </c>
      <c r="C119" s="15">
        <v>49.3</v>
      </c>
      <c r="D119" s="16">
        <v>49.7</v>
      </c>
      <c r="F119" s="14">
        <v>55</v>
      </c>
      <c r="G119" s="15">
        <f t="shared" si="33"/>
        <v>68.768385971250694</v>
      </c>
      <c r="H119" s="15"/>
      <c r="I119" s="16"/>
      <c r="N119" s="3"/>
      <c r="O119" s="3"/>
      <c r="AV119" s="3"/>
    </row>
    <row r="120" spans="2:48" x14ac:dyDescent="0.3">
      <c r="B120" s="14">
        <v>137.5</v>
      </c>
      <c r="C120" s="15">
        <v>51.5</v>
      </c>
      <c r="D120" s="16">
        <v>50</v>
      </c>
      <c r="F120" s="14">
        <v>60</v>
      </c>
      <c r="G120" s="15">
        <f t="shared" si="33"/>
        <v>65.840716885526078</v>
      </c>
      <c r="H120" s="15"/>
      <c r="I120" s="16"/>
      <c r="N120" s="3"/>
      <c r="O120" s="3"/>
      <c r="AV120" s="3"/>
    </row>
    <row r="121" spans="2:48" x14ac:dyDescent="0.3">
      <c r="B121" s="14">
        <v>140</v>
      </c>
      <c r="C121" s="15">
        <v>51.5</v>
      </c>
      <c r="D121" s="16">
        <v>50</v>
      </c>
      <c r="F121" s="14">
        <v>65</v>
      </c>
      <c r="G121" s="15">
        <f t="shared" si="33"/>
        <v>63.257714640496317</v>
      </c>
      <c r="H121" s="15"/>
      <c r="I121" s="16"/>
      <c r="N121" s="3"/>
      <c r="O121" s="3"/>
      <c r="AV121" s="3"/>
    </row>
    <row r="122" spans="2:48" x14ac:dyDescent="0.3">
      <c r="B122" s="14">
        <v>140</v>
      </c>
      <c r="C122" s="15">
        <v>49.2</v>
      </c>
      <c r="D122" s="16">
        <v>47.7</v>
      </c>
      <c r="F122" s="14">
        <v>70</v>
      </c>
      <c r="G122" s="15">
        <f t="shared" si="33"/>
        <v>60.956659076054073</v>
      </c>
      <c r="H122" s="15"/>
      <c r="I122" s="16"/>
      <c r="N122" s="3"/>
      <c r="O122" s="3"/>
      <c r="AV122" s="3"/>
    </row>
    <row r="123" spans="2:48" x14ac:dyDescent="0.3">
      <c r="B123" s="14">
        <v>142.5</v>
      </c>
      <c r="C123" s="15">
        <v>49.2</v>
      </c>
      <c r="D123" s="16">
        <v>47.7</v>
      </c>
      <c r="F123" s="14">
        <v>75</v>
      </c>
      <c r="G123" s="15">
        <f t="shared" si="33"/>
        <v>58.88972745734182</v>
      </c>
      <c r="H123" s="15"/>
      <c r="I123" s="16"/>
      <c r="N123" s="3"/>
      <c r="O123" s="3"/>
      <c r="AV123" s="3"/>
    </row>
    <row r="124" spans="2:48" x14ac:dyDescent="0.3">
      <c r="B124" s="14">
        <v>142.5</v>
      </c>
      <c r="C124" s="15">
        <v>51.8</v>
      </c>
      <c r="D124" s="16">
        <v>50.4</v>
      </c>
      <c r="F124" s="14">
        <v>80</v>
      </c>
      <c r="G124" s="15">
        <f t="shared" si="33"/>
        <v>57.019733426244635</v>
      </c>
      <c r="H124" s="15"/>
      <c r="I124" s="16"/>
      <c r="N124" s="3"/>
      <c r="O124" s="3"/>
      <c r="AV124" s="3"/>
    </row>
    <row r="125" spans="2:48" x14ac:dyDescent="0.3">
      <c r="B125" s="14">
        <v>145</v>
      </c>
      <c r="C125" s="15">
        <v>51.8</v>
      </c>
      <c r="D125" s="16">
        <v>50.4</v>
      </c>
      <c r="F125" s="14">
        <v>85</v>
      </c>
      <c r="G125" s="15">
        <f t="shared" si="33"/>
        <v>55.317266743757322</v>
      </c>
      <c r="H125" s="15"/>
      <c r="I125" s="16"/>
      <c r="N125" s="3"/>
      <c r="O125" s="3"/>
      <c r="AV125" s="3"/>
    </row>
    <row r="126" spans="2:48" x14ac:dyDescent="0.3">
      <c r="B126" s="14">
        <v>145</v>
      </c>
      <c r="C126" s="15">
        <v>48.2</v>
      </c>
      <c r="D126" s="16">
        <v>47.7</v>
      </c>
      <c r="F126" s="14">
        <v>90</v>
      </c>
      <c r="G126" s="15">
        <f t="shared" si="33"/>
        <v>53.758720222862451</v>
      </c>
      <c r="H126" s="15"/>
      <c r="I126" s="16"/>
      <c r="N126" s="3"/>
      <c r="O126" s="3"/>
      <c r="AV126" s="3"/>
    </row>
    <row r="127" spans="2:48" x14ac:dyDescent="0.3">
      <c r="B127" s="14">
        <v>147.5</v>
      </c>
      <c r="C127" s="15">
        <v>48.2</v>
      </c>
      <c r="D127" s="16">
        <v>47.7</v>
      </c>
      <c r="F127" s="14">
        <v>95</v>
      </c>
      <c r="G127" s="15">
        <f t="shared" si="33"/>
        <v>52.324895956342864</v>
      </c>
      <c r="H127" s="15"/>
      <c r="I127" s="16"/>
      <c r="N127" s="3"/>
      <c r="O127" s="3"/>
      <c r="AV127" s="3"/>
    </row>
    <row r="128" spans="2:48" x14ac:dyDescent="0.3">
      <c r="B128" s="14">
        <v>147.5</v>
      </c>
      <c r="C128" s="15">
        <v>51.5</v>
      </c>
      <c r="D128" s="16">
        <v>51.4</v>
      </c>
      <c r="F128" s="14">
        <v>100</v>
      </c>
      <c r="G128" s="15">
        <f t="shared" si="33"/>
        <v>51</v>
      </c>
      <c r="H128" s="15"/>
      <c r="I128" s="16"/>
      <c r="N128" s="3"/>
      <c r="O128" s="3"/>
      <c r="AV128" s="3"/>
    </row>
    <row r="129" spans="2:48" x14ac:dyDescent="0.3">
      <c r="B129" s="14">
        <v>150</v>
      </c>
      <c r="C129" s="15">
        <v>51.5</v>
      </c>
      <c r="D129" s="16">
        <v>51.4</v>
      </c>
      <c r="F129" s="14">
        <v>105</v>
      </c>
      <c r="G129" s="15">
        <f t="shared" si="33"/>
        <v>49.770903720375195</v>
      </c>
      <c r="H129" s="15"/>
      <c r="I129" s="16"/>
      <c r="N129" s="3"/>
      <c r="O129" s="3"/>
      <c r="AV129" s="3"/>
    </row>
    <row r="130" spans="2:48" x14ac:dyDescent="0.3">
      <c r="B130" s="14">
        <v>150</v>
      </c>
      <c r="C130" s="15">
        <v>50.7</v>
      </c>
      <c r="D130" s="16">
        <v>50.7</v>
      </c>
      <c r="F130" s="14">
        <v>110</v>
      </c>
      <c r="G130" s="15">
        <f t="shared" si="33"/>
        <v>48.626592051525208</v>
      </c>
      <c r="H130" s="15"/>
      <c r="I130" s="16"/>
      <c r="N130" s="3"/>
      <c r="O130" s="3"/>
      <c r="AV130" s="3"/>
    </row>
    <row r="131" spans="2:48" x14ac:dyDescent="0.3">
      <c r="B131" s="14">
        <v>152.5</v>
      </c>
      <c r="C131" s="15">
        <v>50.7</v>
      </c>
      <c r="D131" s="16">
        <v>50.7</v>
      </c>
      <c r="F131" s="14">
        <v>115</v>
      </c>
      <c r="G131" s="15">
        <f t="shared" si="33"/>
        <v>47.557745220256002</v>
      </c>
      <c r="H131" s="15"/>
      <c r="I131" s="16"/>
      <c r="N131" s="3"/>
      <c r="O131" s="3"/>
      <c r="AV131" s="3"/>
    </row>
    <row r="132" spans="2:48" x14ac:dyDescent="0.3">
      <c r="B132" s="14">
        <v>152.5</v>
      </c>
      <c r="C132" s="15">
        <v>44.4</v>
      </c>
      <c r="D132" s="16">
        <v>43.1</v>
      </c>
      <c r="F132" s="14">
        <v>120</v>
      </c>
      <c r="G132" s="15">
        <f t="shared" si="33"/>
        <v>46.556417387939121</v>
      </c>
      <c r="H132" s="15"/>
      <c r="I132" s="16"/>
      <c r="N132" s="3"/>
      <c r="O132" s="3"/>
      <c r="AV132" s="3"/>
    </row>
    <row r="133" spans="2:48" x14ac:dyDescent="0.3">
      <c r="B133" s="14">
        <v>155</v>
      </c>
      <c r="C133" s="15">
        <v>44.4</v>
      </c>
      <c r="D133" s="16">
        <v>43.1</v>
      </c>
      <c r="F133" s="14">
        <v>125</v>
      </c>
      <c r="G133" s="15">
        <f t="shared" si="33"/>
        <v>45.615786740995709</v>
      </c>
      <c r="H133" s="15"/>
      <c r="I133" s="16"/>
      <c r="N133" s="3"/>
      <c r="O133" s="3"/>
      <c r="AV133" s="3"/>
    </row>
    <row r="134" spans="2:48" x14ac:dyDescent="0.3">
      <c r="B134" s="14">
        <v>155</v>
      </c>
      <c r="C134" s="15">
        <v>45.6</v>
      </c>
      <c r="D134" s="16">
        <v>45.2</v>
      </c>
      <c r="F134" s="14">
        <v>130</v>
      </c>
      <c r="G134" s="15">
        <f t="shared" si="33"/>
        <v>44.729958984658495</v>
      </c>
      <c r="H134" s="15"/>
      <c r="I134" s="16"/>
      <c r="N134" s="3"/>
      <c r="O134" s="3"/>
      <c r="AV134" s="3"/>
    </row>
    <row r="135" spans="2:48" x14ac:dyDescent="0.3">
      <c r="B135" s="14">
        <v>157.5</v>
      </c>
      <c r="C135" s="15">
        <v>45.6</v>
      </c>
      <c r="D135" s="16">
        <v>45.2</v>
      </c>
      <c r="F135" s="14">
        <v>135</v>
      </c>
      <c r="G135" s="15">
        <f t="shared" si="33"/>
        <v>43.89381125701739</v>
      </c>
      <c r="H135" s="15"/>
      <c r="I135" s="16"/>
      <c r="N135" s="3"/>
      <c r="O135" s="3"/>
      <c r="AV135" s="3"/>
    </row>
    <row r="136" spans="2:48" x14ac:dyDescent="0.3">
      <c r="B136" s="14">
        <v>157.5</v>
      </c>
      <c r="C136" s="15">
        <v>48.6</v>
      </c>
      <c r="D136" s="16">
        <v>48.6</v>
      </c>
      <c r="F136" s="14">
        <v>140</v>
      </c>
      <c r="G136" s="15">
        <f t="shared" si="33"/>
        <v>43.102866991154343</v>
      </c>
      <c r="H136" s="15"/>
      <c r="I136" s="16"/>
      <c r="N136" s="3"/>
      <c r="O136" s="3"/>
      <c r="AV136" s="3"/>
    </row>
    <row r="137" spans="2:48" x14ac:dyDescent="0.3">
      <c r="B137" s="14">
        <v>160</v>
      </c>
      <c r="C137" s="15">
        <v>48.6</v>
      </c>
      <c r="D137" s="16">
        <v>48.6</v>
      </c>
      <c r="F137" s="14">
        <v>145</v>
      </c>
      <c r="G137" s="15">
        <f t="shared" si="33"/>
        <v>42.353194725407384</v>
      </c>
      <c r="H137" s="15"/>
      <c r="I137" s="16"/>
      <c r="N137" s="3"/>
      <c r="O137" s="3"/>
      <c r="AV137" s="3"/>
    </row>
    <row r="138" spans="2:48" x14ac:dyDescent="0.3">
      <c r="B138" s="14">
        <v>160</v>
      </c>
      <c r="C138" s="15">
        <v>48.8</v>
      </c>
      <c r="D138" s="16">
        <v>48.7</v>
      </c>
      <c r="F138" s="14">
        <v>150</v>
      </c>
      <c r="G138" s="15">
        <f t="shared" si="33"/>
        <v>41.641325627314025</v>
      </c>
      <c r="H138" s="15"/>
      <c r="I138" s="16"/>
      <c r="N138" s="3"/>
      <c r="O138" s="3"/>
      <c r="AV138" s="3"/>
    </row>
    <row r="139" spans="2:48" x14ac:dyDescent="0.3">
      <c r="B139" s="14">
        <v>162.5</v>
      </c>
      <c r="C139" s="15">
        <v>48.8</v>
      </c>
      <c r="D139" s="16">
        <v>48.7</v>
      </c>
      <c r="F139" s="14">
        <v>155</v>
      </c>
      <c r="G139" s="15">
        <f t="shared" si="33"/>
        <v>40.964185774027442</v>
      </c>
      <c r="H139" s="15"/>
      <c r="I139" s="16"/>
      <c r="N139" s="3"/>
      <c r="O139" s="3"/>
      <c r="AV139" s="3"/>
    </row>
    <row r="140" spans="2:48" x14ac:dyDescent="0.3">
      <c r="B140" s="14">
        <v>162.5</v>
      </c>
      <c r="C140" s="15">
        <v>44</v>
      </c>
      <c r="D140" s="16">
        <v>43.2</v>
      </c>
      <c r="F140" s="14">
        <v>160</v>
      </c>
      <c r="G140" s="15">
        <f t="shared" si="33"/>
        <v>40.319040167146831</v>
      </c>
      <c r="H140" s="15"/>
      <c r="I140" s="16"/>
      <c r="N140" s="3"/>
      <c r="O140" s="3"/>
      <c r="AV140" s="3"/>
    </row>
    <row r="141" spans="2:48" ht="15" thickBot="1" x14ac:dyDescent="0.35">
      <c r="B141" s="22">
        <v>165</v>
      </c>
      <c r="C141" s="23">
        <v>44</v>
      </c>
      <c r="D141" s="24">
        <v>43.2</v>
      </c>
      <c r="F141" s="22">
        <v>165</v>
      </c>
      <c r="G141" s="23">
        <f t="shared" si="33"/>
        <v>39.703446152237667</v>
      </c>
      <c r="H141" s="23"/>
      <c r="I141" s="24"/>
      <c r="N141" s="3"/>
      <c r="O141" s="3"/>
      <c r="AV141" s="3"/>
    </row>
    <row r="142" spans="2:48" x14ac:dyDescent="0.3">
      <c r="N142" s="3"/>
      <c r="O142" s="3"/>
      <c r="AV142" s="3"/>
    </row>
    <row r="143" spans="2:48" x14ac:dyDescent="0.3">
      <c r="N143" s="3"/>
      <c r="O143" s="3"/>
      <c r="AV143" s="3"/>
    </row>
    <row r="144" spans="2:48" x14ac:dyDescent="0.3">
      <c r="N144" s="3"/>
      <c r="O144" s="3"/>
      <c r="AV144" s="3"/>
    </row>
    <row r="145" spans="14:48" x14ac:dyDescent="0.3">
      <c r="N145" s="3"/>
      <c r="O145" s="3"/>
      <c r="AV145" s="3"/>
    </row>
    <row r="146" spans="14:48" x14ac:dyDescent="0.3">
      <c r="N146" s="3"/>
      <c r="O146" s="3"/>
      <c r="AV146" s="3"/>
    </row>
    <row r="147" spans="14:48" x14ac:dyDescent="0.3">
      <c r="N147" s="3"/>
      <c r="O147" s="3"/>
      <c r="AV147" s="3"/>
    </row>
    <row r="148" spans="14:48" x14ac:dyDescent="0.3">
      <c r="N148" s="3"/>
      <c r="O148" s="3"/>
      <c r="AV148" s="3"/>
    </row>
    <row r="149" spans="14:48" x14ac:dyDescent="0.3">
      <c r="N149" s="3"/>
      <c r="O149" s="3"/>
      <c r="AV149" s="3"/>
    </row>
    <row r="150" spans="14:48" x14ac:dyDescent="0.3">
      <c r="N150" s="3"/>
      <c r="O150" s="3"/>
      <c r="AV150" s="3"/>
    </row>
    <row r="151" spans="14:48" x14ac:dyDescent="0.3">
      <c r="N151" s="3"/>
      <c r="O151" s="3"/>
      <c r="AV151" s="3"/>
    </row>
    <row r="152" spans="14:48" x14ac:dyDescent="0.3">
      <c r="N152" s="3"/>
      <c r="O152" s="3"/>
      <c r="AV152" s="3"/>
    </row>
    <row r="153" spans="14:48" x14ac:dyDescent="0.3">
      <c r="N153" s="3"/>
      <c r="O153" s="3"/>
      <c r="AV153" s="3"/>
    </row>
    <row r="154" spans="14:48" x14ac:dyDescent="0.3">
      <c r="N154" s="3"/>
      <c r="O154" s="3"/>
      <c r="AV154" s="3"/>
    </row>
    <row r="155" spans="14:48" x14ac:dyDescent="0.3">
      <c r="N155" s="3"/>
      <c r="O155" s="3"/>
      <c r="AV155" s="3"/>
    </row>
    <row r="156" spans="14:48" x14ac:dyDescent="0.3">
      <c r="N156" s="3"/>
      <c r="O156" s="3"/>
      <c r="AV156" s="3"/>
    </row>
    <row r="157" spans="14:48" x14ac:dyDescent="0.3">
      <c r="N157" s="3"/>
      <c r="O157" s="3"/>
      <c r="AV157" s="3"/>
    </row>
    <row r="158" spans="14:48" x14ac:dyDescent="0.3">
      <c r="N158" s="3"/>
      <c r="O158" s="3"/>
      <c r="AV158" s="3"/>
    </row>
    <row r="159" spans="14:48" x14ac:dyDescent="0.3">
      <c r="N159" s="3"/>
      <c r="O159" s="3"/>
      <c r="AV159" s="3"/>
    </row>
    <row r="160" spans="14:48" x14ac:dyDescent="0.3">
      <c r="N160" s="3"/>
      <c r="O160" s="3"/>
      <c r="AV160" s="3"/>
    </row>
    <row r="161" spans="14:48" x14ac:dyDescent="0.3">
      <c r="N161" s="3"/>
      <c r="O161" s="3"/>
      <c r="AV161" s="3"/>
    </row>
    <row r="162" spans="14:48" x14ac:dyDescent="0.3">
      <c r="N162" s="3"/>
      <c r="O162" s="3"/>
      <c r="AV162" s="3"/>
    </row>
    <row r="163" spans="14:48" x14ac:dyDescent="0.3">
      <c r="N163" s="3"/>
      <c r="O163" s="3"/>
      <c r="AV163" s="3"/>
    </row>
    <row r="164" spans="14:48" x14ac:dyDescent="0.3">
      <c r="N164" s="3"/>
      <c r="O164" s="3"/>
      <c r="AV164" s="3"/>
    </row>
    <row r="165" spans="14:48" x14ac:dyDescent="0.3">
      <c r="N165" s="3"/>
      <c r="O165" s="3"/>
      <c r="AV165" s="3"/>
    </row>
    <row r="166" spans="14:48" x14ac:dyDescent="0.3">
      <c r="N166" s="3"/>
      <c r="O166" s="3"/>
      <c r="AV166" s="3"/>
    </row>
    <row r="167" spans="14:48" x14ac:dyDescent="0.3">
      <c r="N167" s="3"/>
      <c r="O167" s="3"/>
      <c r="AV167" s="3"/>
    </row>
    <row r="168" spans="14:48" x14ac:dyDescent="0.3">
      <c r="N168" s="3"/>
      <c r="O168" s="3"/>
      <c r="AV168" s="3"/>
    </row>
    <row r="169" spans="14:48" x14ac:dyDescent="0.3">
      <c r="N169" s="3"/>
      <c r="O169" s="3"/>
      <c r="AV169" s="3"/>
    </row>
    <row r="170" spans="14:48" x14ac:dyDescent="0.3">
      <c r="N170" s="3"/>
      <c r="O170" s="3"/>
      <c r="AV170" s="3"/>
    </row>
    <row r="171" spans="14:48" x14ac:dyDescent="0.3">
      <c r="N171" s="3"/>
      <c r="O171" s="3"/>
      <c r="AV171" s="3"/>
    </row>
    <row r="172" spans="14:48" x14ac:dyDescent="0.3">
      <c r="N172" s="3"/>
      <c r="O172" s="3"/>
      <c r="AV172" s="3"/>
    </row>
    <row r="173" spans="14:48" x14ac:dyDescent="0.3">
      <c r="N173" s="3"/>
      <c r="O173" s="3"/>
      <c r="AV173" s="3"/>
    </row>
    <row r="174" spans="14:48" x14ac:dyDescent="0.3">
      <c r="N174" s="3"/>
      <c r="O174" s="3"/>
      <c r="AV174" s="3"/>
    </row>
    <row r="175" spans="14:48" x14ac:dyDescent="0.3">
      <c r="N175" s="3"/>
      <c r="O175" s="3"/>
      <c r="AV175" s="3"/>
    </row>
    <row r="176" spans="14:48" x14ac:dyDescent="0.3">
      <c r="N176" s="3"/>
      <c r="O176" s="3"/>
      <c r="AV176" s="3"/>
    </row>
    <row r="177" spans="14:48" x14ac:dyDescent="0.3">
      <c r="N177" s="3"/>
      <c r="O177" s="3"/>
      <c r="AV177" s="3"/>
    </row>
    <row r="178" spans="14:48" x14ac:dyDescent="0.3">
      <c r="N178" s="3"/>
      <c r="O178" s="3"/>
      <c r="AV178" s="3"/>
    </row>
    <row r="179" spans="14:48" x14ac:dyDescent="0.3">
      <c r="N179" s="3"/>
      <c r="O179" s="3"/>
      <c r="AV179" s="3"/>
    </row>
    <row r="180" spans="14:48" x14ac:dyDescent="0.3">
      <c r="N180" s="3"/>
      <c r="O180" s="3"/>
      <c r="AV180" s="3"/>
    </row>
    <row r="181" spans="14:48" x14ac:dyDescent="0.3">
      <c r="N181" s="3"/>
      <c r="O181" s="3"/>
      <c r="AV181" s="3"/>
    </row>
    <row r="182" spans="14:48" x14ac:dyDescent="0.3">
      <c r="N182" s="3"/>
      <c r="O182" s="3"/>
      <c r="AV182" s="3"/>
    </row>
    <row r="183" spans="14:48" x14ac:dyDescent="0.3">
      <c r="N183" s="3"/>
      <c r="O183" s="3"/>
      <c r="AV183" s="3"/>
    </row>
    <row r="184" spans="14:48" x14ac:dyDescent="0.3">
      <c r="N184" s="3"/>
      <c r="O184" s="3"/>
      <c r="AV184" s="3"/>
    </row>
    <row r="185" spans="14:48" x14ac:dyDescent="0.3">
      <c r="N185" s="3"/>
      <c r="O185" s="3"/>
      <c r="AV185" s="3"/>
    </row>
    <row r="186" spans="14:48" x14ac:dyDescent="0.3">
      <c r="N186" s="3"/>
      <c r="O186" s="3"/>
      <c r="AV186" s="3"/>
    </row>
    <row r="187" spans="14:48" x14ac:dyDescent="0.3">
      <c r="N187" s="3"/>
      <c r="O187" s="3"/>
      <c r="AV187" s="3"/>
    </row>
    <row r="188" spans="14:48" x14ac:dyDescent="0.3">
      <c r="N188" s="3"/>
      <c r="O188" s="3"/>
      <c r="AV188" s="3"/>
    </row>
    <row r="189" spans="14:48" x14ac:dyDescent="0.3">
      <c r="N189" s="3"/>
      <c r="O189" s="3"/>
      <c r="AV189" s="3"/>
    </row>
    <row r="190" spans="14:48" x14ac:dyDescent="0.3">
      <c r="N190" s="3"/>
      <c r="O190" s="3"/>
      <c r="AV190" s="3"/>
    </row>
    <row r="191" spans="14:48" x14ac:dyDescent="0.3">
      <c r="N191" s="3"/>
      <c r="O191" s="3"/>
      <c r="AV191" s="3"/>
    </row>
    <row r="192" spans="14:48" x14ac:dyDescent="0.3">
      <c r="N192" s="3"/>
      <c r="O192" s="3"/>
      <c r="AV192" s="3"/>
    </row>
    <row r="193" spans="14:48" x14ac:dyDescent="0.3">
      <c r="N193" s="3"/>
      <c r="O193" s="3"/>
      <c r="AV193" s="3"/>
    </row>
    <row r="194" spans="14:48" x14ac:dyDescent="0.3">
      <c r="N194" s="3"/>
      <c r="O194" s="3"/>
      <c r="AV194" s="3"/>
    </row>
    <row r="195" spans="14:48" x14ac:dyDescent="0.3">
      <c r="N195" s="3"/>
      <c r="O195" s="3"/>
      <c r="AV195" s="3"/>
    </row>
    <row r="196" spans="14:48" x14ac:dyDescent="0.3">
      <c r="N196" s="3"/>
      <c r="O196" s="3"/>
      <c r="AV196" s="3"/>
    </row>
    <row r="197" spans="14:48" x14ac:dyDescent="0.3">
      <c r="N197" s="3"/>
      <c r="O197" s="3"/>
      <c r="AV197" s="3"/>
    </row>
    <row r="198" spans="14:48" x14ac:dyDescent="0.3">
      <c r="N198" s="3"/>
      <c r="O198" s="3"/>
      <c r="AV198" s="3"/>
    </row>
    <row r="199" spans="14:48" x14ac:dyDescent="0.3">
      <c r="N199" s="3"/>
      <c r="O199" s="3"/>
      <c r="AV199" s="3"/>
    </row>
    <row r="200" spans="14:48" x14ac:dyDescent="0.3">
      <c r="N200" s="3"/>
      <c r="O200" s="3"/>
      <c r="AV200" s="3"/>
    </row>
    <row r="201" spans="14:48" x14ac:dyDescent="0.3">
      <c r="N201" s="3"/>
      <c r="O201" s="3"/>
      <c r="AV201" s="3"/>
    </row>
    <row r="202" spans="14:48" x14ac:dyDescent="0.3">
      <c r="N202" s="3"/>
      <c r="O202" s="3"/>
      <c r="AV202" s="3"/>
    </row>
    <row r="203" spans="14:48" x14ac:dyDescent="0.3">
      <c r="N203" s="3"/>
      <c r="O203" s="3"/>
      <c r="AV203" s="3"/>
    </row>
    <row r="204" spans="14:48" x14ac:dyDescent="0.3">
      <c r="N204" s="3"/>
      <c r="O204" s="3"/>
      <c r="AV204" s="3"/>
    </row>
    <row r="205" spans="14:48" x14ac:dyDescent="0.3">
      <c r="N205" s="3"/>
      <c r="O205" s="3"/>
      <c r="AV205" s="3"/>
    </row>
    <row r="206" spans="14:48" x14ac:dyDescent="0.3">
      <c r="N206" s="3"/>
      <c r="O206" s="3"/>
      <c r="AV206" s="3"/>
    </row>
    <row r="207" spans="14:48" x14ac:dyDescent="0.3">
      <c r="N207" s="3"/>
      <c r="O207" s="3"/>
      <c r="AV207" s="3"/>
    </row>
    <row r="208" spans="14:48" x14ac:dyDescent="0.3">
      <c r="N208" s="3"/>
      <c r="O208" s="3"/>
      <c r="AV208" s="3"/>
    </row>
    <row r="209" spans="14:48" x14ac:dyDescent="0.3">
      <c r="N209" s="3"/>
      <c r="O209" s="3"/>
      <c r="AV209" s="3"/>
    </row>
    <row r="210" spans="14:48" x14ac:dyDescent="0.3">
      <c r="N210" s="3"/>
      <c r="O210" s="3"/>
      <c r="AV210" s="3"/>
    </row>
    <row r="211" spans="14:48" x14ac:dyDescent="0.3">
      <c r="N211" s="3"/>
      <c r="O211" s="3"/>
      <c r="AV211" s="3"/>
    </row>
    <row r="212" spans="14:48" x14ac:dyDescent="0.3">
      <c r="N212" s="3"/>
      <c r="O212" s="3"/>
      <c r="AV212" s="3"/>
    </row>
    <row r="213" spans="14:48" x14ac:dyDescent="0.3">
      <c r="N213" s="3"/>
      <c r="O213" s="3"/>
      <c r="AV213" s="3"/>
    </row>
    <row r="214" spans="14:48" x14ac:dyDescent="0.3">
      <c r="N214" s="3"/>
      <c r="O214" s="3"/>
      <c r="AV214" s="3"/>
    </row>
    <row r="215" spans="14:48" x14ac:dyDescent="0.3">
      <c r="N215" s="3"/>
      <c r="O215" s="3"/>
      <c r="AV215" s="3"/>
    </row>
    <row r="216" spans="14:48" x14ac:dyDescent="0.3">
      <c r="N216" s="3"/>
      <c r="O216" s="3"/>
      <c r="AV216" s="3"/>
    </row>
    <row r="217" spans="14:48" x14ac:dyDescent="0.3">
      <c r="N217" s="3"/>
      <c r="O217" s="3"/>
      <c r="AV217" s="3"/>
    </row>
    <row r="218" spans="14:48" x14ac:dyDescent="0.3">
      <c r="N218" s="3"/>
      <c r="O218" s="3"/>
      <c r="AV218" s="3"/>
    </row>
    <row r="219" spans="14:48" x14ac:dyDescent="0.3">
      <c r="N219" s="3"/>
      <c r="O219" s="3"/>
      <c r="AV219" s="3"/>
    </row>
    <row r="220" spans="14:48" x14ac:dyDescent="0.3">
      <c r="N220" s="3"/>
      <c r="O220" s="3"/>
      <c r="AV220" s="3"/>
    </row>
    <row r="221" spans="14:48" x14ac:dyDescent="0.3">
      <c r="N221" s="3"/>
      <c r="O221" s="3"/>
      <c r="AV221" s="3"/>
    </row>
    <row r="222" spans="14:48" x14ac:dyDescent="0.3">
      <c r="N222" s="3"/>
      <c r="O222" s="3"/>
      <c r="AV222" s="3"/>
    </row>
    <row r="223" spans="14:48" x14ac:dyDescent="0.3">
      <c r="N223" s="3"/>
      <c r="O223" s="3"/>
      <c r="AV223" s="3"/>
    </row>
    <row r="224" spans="14:48" x14ac:dyDescent="0.3">
      <c r="N224" s="3"/>
      <c r="O224" s="3"/>
      <c r="AV224" s="3"/>
    </row>
    <row r="225" spans="14:48" x14ac:dyDescent="0.3">
      <c r="N225" s="3"/>
      <c r="O225" s="3"/>
      <c r="AV225" s="3"/>
    </row>
    <row r="226" spans="14:48" x14ac:dyDescent="0.3">
      <c r="N226" s="3"/>
      <c r="O226" s="3"/>
      <c r="AV226" s="3"/>
    </row>
    <row r="227" spans="14:48" x14ac:dyDescent="0.3">
      <c r="N227" s="3"/>
      <c r="O227" s="3"/>
      <c r="AV227" s="3"/>
    </row>
    <row r="228" spans="14:48" x14ac:dyDescent="0.3">
      <c r="N228" s="3"/>
      <c r="O228" s="3"/>
      <c r="AV228" s="3"/>
    </row>
    <row r="229" spans="14:48" x14ac:dyDescent="0.3">
      <c r="N229" s="3"/>
      <c r="O229" s="3"/>
      <c r="AV229" s="3"/>
    </row>
    <row r="230" spans="14:48" x14ac:dyDescent="0.3">
      <c r="N230" s="3"/>
      <c r="O230" s="3"/>
      <c r="AV230" s="3"/>
    </row>
    <row r="231" spans="14:48" x14ac:dyDescent="0.3">
      <c r="N231" s="3"/>
      <c r="O231" s="3"/>
      <c r="AV231" s="3"/>
    </row>
    <row r="232" spans="14:48" x14ac:dyDescent="0.3">
      <c r="N232" s="3"/>
      <c r="O232" s="3"/>
      <c r="AV232" s="3"/>
    </row>
    <row r="233" spans="14:48" x14ac:dyDescent="0.3">
      <c r="N233" s="3"/>
      <c r="O233" s="3"/>
      <c r="AV233" s="3"/>
    </row>
    <row r="234" spans="14:48" x14ac:dyDescent="0.3">
      <c r="N234" s="3"/>
      <c r="O234" s="3"/>
      <c r="AV234" s="3"/>
    </row>
    <row r="235" spans="14:48" x14ac:dyDescent="0.3">
      <c r="N235" s="3"/>
      <c r="O235" s="3"/>
      <c r="AV235" s="3"/>
    </row>
    <row r="236" spans="14:48" x14ac:dyDescent="0.3">
      <c r="N236" s="3"/>
      <c r="O236" s="3"/>
      <c r="AV236" s="3"/>
    </row>
    <row r="237" spans="14:48" x14ac:dyDescent="0.3">
      <c r="N237" s="3"/>
      <c r="O237" s="3"/>
      <c r="AV237" s="3"/>
    </row>
    <row r="238" spans="14:48" x14ac:dyDescent="0.3">
      <c r="N238" s="3"/>
      <c r="O238" s="3"/>
      <c r="AV238" s="3"/>
    </row>
    <row r="239" spans="14:48" x14ac:dyDescent="0.3">
      <c r="N239" s="3"/>
      <c r="O239" s="3"/>
      <c r="AV239" s="3"/>
    </row>
    <row r="240" spans="14:48" x14ac:dyDescent="0.3">
      <c r="N240" s="3"/>
      <c r="O240" s="3"/>
      <c r="AV240" s="3"/>
    </row>
    <row r="241" spans="14:48" x14ac:dyDescent="0.3">
      <c r="N241" s="3"/>
      <c r="O241" s="3"/>
      <c r="AV241" s="3"/>
    </row>
    <row r="242" spans="14:48" x14ac:dyDescent="0.3">
      <c r="N242" s="3"/>
      <c r="O242" s="3"/>
      <c r="AV242" s="3"/>
    </row>
    <row r="243" spans="14:48" x14ac:dyDescent="0.3">
      <c r="N243" s="3"/>
      <c r="O243" s="3"/>
      <c r="AV243" s="3"/>
    </row>
    <row r="244" spans="14:48" x14ac:dyDescent="0.3">
      <c r="N244" s="3"/>
      <c r="O244" s="3"/>
      <c r="AV244" s="3"/>
    </row>
    <row r="245" spans="14:48" x14ac:dyDescent="0.3">
      <c r="N245" s="3"/>
      <c r="O245" s="3"/>
      <c r="AV245" s="3"/>
    </row>
    <row r="246" spans="14:48" x14ac:dyDescent="0.3">
      <c r="N246" s="3"/>
      <c r="O246" s="3"/>
      <c r="AV246" s="3"/>
    </row>
    <row r="247" spans="14:48" x14ac:dyDescent="0.3">
      <c r="N247" s="3"/>
      <c r="O247" s="3"/>
      <c r="AV247" s="3"/>
    </row>
    <row r="248" spans="14:48" x14ac:dyDescent="0.3">
      <c r="N248" s="3"/>
      <c r="O248" s="3"/>
      <c r="AV248" s="3"/>
    </row>
    <row r="249" spans="14:48" x14ac:dyDescent="0.3">
      <c r="N249" s="3"/>
      <c r="O249" s="3"/>
      <c r="AV249" s="3"/>
    </row>
    <row r="250" spans="14:48" x14ac:dyDescent="0.3">
      <c r="N250" s="3"/>
      <c r="O250" s="3"/>
      <c r="AV250" s="3"/>
    </row>
    <row r="251" spans="14:48" x14ac:dyDescent="0.3">
      <c r="N251" s="3"/>
      <c r="O251" s="3"/>
      <c r="AV251" s="3"/>
    </row>
    <row r="252" spans="14:48" x14ac:dyDescent="0.3">
      <c r="N252" s="3"/>
      <c r="O252" s="3"/>
      <c r="AV252" s="3"/>
    </row>
    <row r="253" spans="14:48" x14ac:dyDescent="0.3">
      <c r="N253" s="3"/>
      <c r="O253" s="3"/>
      <c r="AV253" s="3"/>
    </row>
    <row r="254" spans="14:48" x14ac:dyDescent="0.3">
      <c r="N254" s="3"/>
      <c r="O254" s="3"/>
      <c r="AV254" s="3"/>
    </row>
    <row r="255" spans="14:48" x14ac:dyDescent="0.3">
      <c r="N255" s="3"/>
      <c r="O255" s="3"/>
      <c r="AV255" s="3"/>
    </row>
    <row r="256" spans="14:48" x14ac:dyDescent="0.3">
      <c r="N256" s="3"/>
      <c r="O256" s="3"/>
      <c r="AV256" s="3"/>
    </row>
    <row r="257" spans="14:48" x14ac:dyDescent="0.3">
      <c r="N257" s="3"/>
      <c r="O257" s="3"/>
      <c r="AV257" s="3"/>
    </row>
    <row r="258" spans="14:48" x14ac:dyDescent="0.3">
      <c r="N258" s="3"/>
      <c r="O258" s="3"/>
      <c r="AV258" s="3"/>
    </row>
    <row r="259" spans="14:48" x14ac:dyDescent="0.3">
      <c r="N259" s="3"/>
      <c r="O259" s="3"/>
      <c r="AV259" s="3"/>
    </row>
    <row r="260" spans="14:48" x14ac:dyDescent="0.3">
      <c r="N260" s="3"/>
      <c r="O260" s="3"/>
      <c r="AV260" s="3"/>
    </row>
    <row r="261" spans="14:48" x14ac:dyDescent="0.3">
      <c r="N261" s="3"/>
      <c r="O261" s="3"/>
      <c r="AV261" s="3"/>
    </row>
    <row r="262" spans="14:48" x14ac:dyDescent="0.3">
      <c r="N262" s="3"/>
      <c r="O262" s="3"/>
      <c r="AV262" s="3"/>
    </row>
    <row r="263" spans="14:48" x14ac:dyDescent="0.3">
      <c r="N263" s="3"/>
      <c r="O263" s="3"/>
      <c r="AV263" s="3"/>
    </row>
    <row r="264" spans="14:48" x14ac:dyDescent="0.3">
      <c r="N264" s="3"/>
      <c r="O264" s="3"/>
      <c r="AV264" s="3"/>
    </row>
    <row r="265" spans="14:48" x14ac:dyDescent="0.3">
      <c r="N265" s="3"/>
      <c r="O265" s="3"/>
      <c r="AV265" s="3"/>
    </row>
    <row r="266" spans="14:48" x14ac:dyDescent="0.3">
      <c r="N266" s="3"/>
      <c r="O266" s="3"/>
      <c r="AV266" s="3"/>
    </row>
    <row r="267" spans="14:48" x14ac:dyDescent="0.3">
      <c r="N267" s="3"/>
      <c r="O267" s="3"/>
      <c r="AV267" s="3"/>
    </row>
    <row r="268" spans="14:48" x14ac:dyDescent="0.3">
      <c r="N268" s="3"/>
      <c r="O268" s="3"/>
      <c r="AV268" s="3"/>
    </row>
    <row r="269" spans="14:48" x14ac:dyDescent="0.3">
      <c r="N269" s="3"/>
      <c r="O269" s="3"/>
      <c r="AV269" s="3"/>
    </row>
    <row r="270" spans="14:48" x14ac:dyDescent="0.3">
      <c r="N270" s="3"/>
      <c r="O270" s="3"/>
      <c r="AV270" s="3"/>
    </row>
    <row r="271" spans="14:48" x14ac:dyDescent="0.3">
      <c r="N271" s="3"/>
      <c r="O271" s="3"/>
      <c r="AV271" s="3"/>
    </row>
    <row r="272" spans="14:48" x14ac:dyDescent="0.3">
      <c r="N272" s="3"/>
      <c r="O272" s="3"/>
      <c r="AV272" s="3"/>
    </row>
    <row r="273" spans="14:48" x14ac:dyDescent="0.3">
      <c r="N273" s="3"/>
      <c r="O273" s="3"/>
      <c r="AV273" s="3"/>
    </row>
    <row r="274" spans="14:48" x14ac:dyDescent="0.3">
      <c r="N274" s="3"/>
      <c r="O274" s="3"/>
      <c r="AV274" s="3"/>
    </row>
    <row r="275" spans="14:48" x14ac:dyDescent="0.3">
      <c r="N275" s="3"/>
      <c r="O275" s="3"/>
      <c r="AV275" s="3"/>
    </row>
    <row r="276" spans="14:48" x14ac:dyDescent="0.3">
      <c r="N276" s="3"/>
      <c r="O276" s="3"/>
      <c r="AV276" s="3"/>
    </row>
    <row r="277" spans="14:48" x14ac:dyDescent="0.3">
      <c r="N277" s="3"/>
      <c r="O277" s="3"/>
      <c r="AV277" s="3"/>
    </row>
    <row r="278" spans="14:48" x14ac:dyDescent="0.3">
      <c r="N278" s="3"/>
      <c r="O278" s="3"/>
      <c r="AV278" s="3"/>
    </row>
    <row r="279" spans="14:48" x14ac:dyDescent="0.3">
      <c r="N279" s="3"/>
      <c r="O279" s="3"/>
      <c r="AV279" s="3"/>
    </row>
    <row r="280" spans="14:48" x14ac:dyDescent="0.3">
      <c r="N280" s="3"/>
      <c r="O280" s="3"/>
      <c r="AV280" s="3"/>
    </row>
    <row r="281" spans="14:48" x14ac:dyDescent="0.3">
      <c r="N281" s="3"/>
      <c r="O281" s="3"/>
      <c r="AV281" s="3"/>
    </row>
    <row r="282" spans="14:48" x14ac:dyDescent="0.3">
      <c r="N282" s="3"/>
      <c r="O282" s="3"/>
      <c r="AV282" s="3"/>
    </row>
    <row r="283" spans="14:48" x14ac:dyDescent="0.3">
      <c r="N283" s="3"/>
      <c r="O283" s="3"/>
      <c r="AV283" s="3"/>
    </row>
    <row r="284" spans="14:48" x14ac:dyDescent="0.3">
      <c r="N284" s="3"/>
      <c r="O284" s="3"/>
      <c r="AV284" s="3"/>
    </row>
    <row r="285" spans="14:48" x14ac:dyDescent="0.3">
      <c r="N285" s="3"/>
      <c r="O285" s="3"/>
      <c r="AV285" s="3"/>
    </row>
    <row r="286" spans="14:48" x14ac:dyDescent="0.3">
      <c r="N286" s="3"/>
      <c r="O286" s="3"/>
      <c r="AV286" s="3"/>
    </row>
    <row r="287" spans="14:48" x14ac:dyDescent="0.3">
      <c r="N287" s="3"/>
      <c r="O287" s="3"/>
      <c r="AV287" s="3"/>
    </row>
    <row r="288" spans="14:48" x14ac:dyDescent="0.3">
      <c r="N288" s="3"/>
      <c r="O288" s="3"/>
      <c r="AV288" s="3"/>
    </row>
    <row r="289" spans="14:48" x14ac:dyDescent="0.3">
      <c r="N289" s="3"/>
      <c r="O289" s="3"/>
      <c r="AV289" s="3"/>
    </row>
    <row r="290" spans="14:48" x14ac:dyDescent="0.3">
      <c r="N290" s="3"/>
      <c r="O290" s="3"/>
      <c r="AV290" s="3"/>
    </row>
    <row r="291" spans="14:48" x14ac:dyDescent="0.3">
      <c r="N291" s="3"/>
      <c r="O291" s="3"/>
      <c r="AV291" s="3"/>
    </row>
    <row r="292" spans="14:48" x14ac:dyDescent="0.3">
      <c r="N292" s="3"/>
      <c r="O292" s="3"/>
      <c r="AV292" s="3"/>
    </row>
    <row r="293" spans="14:48" x14ac:dyDescent="0.3">
      <c r="N293" s="3"/>
      <c r="O293" s="3"/>
      <c r="AV293" s="3"/>
    </row>
    <row r="294" spans="14:48" x14ac:dyDescent="0.3">
      <c r="N294" s="3"/>
      <c r="O294" s="3"/>
      <c r="AV294" s="3"/>
    </row>
    <row r="295" spans="14:48" x14ac:dyDescent="0.3">
      <c r="N295" s="3"/>
      <c r="O295" s="3"/>
      <c r="AV295" s="3"/>
    </row>
    <row r="296" spans="14:48" x14ac:dyDescent="0.3">
      <c r="N296" s="3"/>
      <c r="O296" s="3"/>
      <c r="AV296" s="3"/>
    </row>
    <row r="297" spans="14:48" x14ac:dyDescent="0.3">
      <c r="N297" s="3"/>
      <c r="O297" s="3"/>
      <c r="AV297" s="3"/>
    </row>
    <row r="298" spans="14:48" x14ac:dyDescent="0.3">
      <c r="N298" s="3"/>
      <c r="O298" s="3"/>
      <c r="AV298" s="3"/>
    </row>
    <row r="299" spans="14:48" x14ac:dyDescent="0.3">
      <c r="N299" s="3"/>
      <c r="O299" s="3"/>
      <c r="AV299" s="3"/>
    </row>
    <row r="300" spans="14:48" x14ac:dyDescent="0.3">
      <c r="N300" s="3"/>
      <c r="O300" s="3"/>
      <c r="AV300" s="3"/>
    </row>
    <row r="301" spans="14:48" x14ac:dyDescent="0.3">
      <c r="N301" s="3"/>
      <c r="O301" s="3"/>
      <c r="AV301" s="3"/>
    </row>
    <row r="302" spans="14:48" x14ac:dyDescent="0.3">
      <c r="N302" s="3"/>
      <c r="O302" s="3"/>
      <c r="AV302" s="3"/>
    </row>
    <row r="303" spans="14:48" x14ac:dyDescent="0.3">
      <c r="N303" s="3"/>
      <c r="O303" s="3"/>
      <c r="AV303" s="3"/>
    </row>
    <row r="304" spans="14:48" x14ac:dyDescent="0.3">
      <c r="N304" s="3"/>
      <c r="O304" s="3"/>
      <c r="AV304" s="3"/>
    </row>
    <row r="305" spans="14:48" x14ac:dyDescent="0.3">
      <c r="N305" s="3"/>
      <c r="O305" s="3"/>
      <c r="AV305" s="3"/>
    </row>
    <row r="306" spans="14:48" x14ac:dyDescent="0.3">
      <c r="N306" s="3"/>
      <c r="O306" s="3"/>
      <c r="AV306" s="3"/>
    </row>
    <row r="307" spans="14:48" x14ac:dyDescent="0.3">
      <c r="N307" s="3"/>
      <c r="O307" s="3"/>
      <c r="AV307" s="3"/>
    </row>
    <row r="308" spans="14:48" x14ac:dyDescent="0.3">
      <c r="N308" s="3"/>
      <c r="O308" s="3"/>
      <c r="AV308" s="3"/>
    </row>
    <row r="309" spans="14:48" x14ac:dyDescent="0.3">
      <c r="N309" s="3"/>
      <c r="O309" s="3"/>
      <c r="AV309" s="3"/>
    </row>
    <row r="310" spans="14:48" x14ac:dyDescent="0.3">
      <c r="N310" s="3"/>
      <c r="O310" s="3"/>
      <c r="AV310" s="3"/>
    </row>
    <row r="311" spans="14:48" x14ac:dyDescent="0.3">
      <c r="N311" s="3"/>
      <c r="O311" s="3"/>
      <c r="AV311" s="3"/>
    </row>
    <row r="312" spans="14:48" x14ac:dyDescent="0.3">
      <c r="N312" s="3"/>
      <c r="O312" s="3"/>
      <c r="AV312" s="3"/>
    </row>
    <row r="313" spans="14:48" x14ac:dyDescent="0.3">
      <c r="N313" s="3"/>
      <c r="O313" s="3"/>
      <c r="AV313" s="3"/>
    </row>
    <row r="314" spans="14:48" x14ac:dyDescent="0.3">
      <c r="N314" s="3"/>
      <c r="O314" s="3"/>
      <c r="AV314" s="3"/>
    </row>
    <row r="315" spans="14:48" x14ac:dyDescent="0.3">
      <c r="N315" s="3"/>
      <c r="O315" s="3"/>
      <c r="AV315" s="3"/>
    </row>
    <row r="316" spans="14:48" x14ac:dyDescent="0.3">
      <c r="N316" s="3"/>
      <c r="O316" s="3"/>
      <c r="AV316" s="3"/>
    </row>
    <row r="317" spans="14:48" x14ac:dyDescent="0.3">
      <c r="N317" s="3"/>
      <c r="O317" s="3"/>
      <c r="AV317" s="3"/>
    </row>
    <row r="318" spans="14:48" x14ac:dyDescent="0.3">
      <c r="N318" s="3"/>
      <c r="O318" s="3"/>
      <c r="AV318" s="3"/>
    </row>
    <row r="319" spans="14:48" x14ac:dyDescent="0.3">
      <c r="N319" s="3"/>
      <c r="O319" s="3"/>
      <c r="AV319" s="3"/>
    </row>
    <row r="320" spans="14:48" x14ac:dyDescent="0.3">
      <c r="N320" s="3"/>
      <c r="O320" s="3"/>
      <c r="AV320" s="3"/>
    </row>
    <row r="321" spans="14:48" x14ac:dyDescent="0.3">
      <c r="N321" s="3"/>
      <c r="O321" s="3"/>
      <c r="AV321" s="3"/>
    </row>
    <row r="322" spans="14:48" x14ac:dyDescent="0.3">
      <c r="N322" s="3"/>
      <c r="O322" s="3"/>
      <c r="AV322" s="3"/>
    </row>
    <row r="323" spans="14:48" x14ac:dyDescent="0.3">
      <c r="N323" s="3"/>
      <c r="O323" s="3"/>
      <c r="AV323" s="3"/>
    </row>
    <row r="324" spans="14:48" x14ac:dyDescent="0.3">
      <c r="N324" s="3"/>
      <c r="O324" s="3"/>
      <c r="AV324" s="3"/>
    </row>
    <row r="325" spans="14:48" x14ac:dyDescent="0.3">
      <c r="N325" s="3"/>
      <c r="O325" s="3"/>
      <c r="AV325" s="3"/>
    </row>
    <row r="326" spans="14:48" x14ac:dyDescent="0.3">
      <c r="N326" s="3"/>
      <c r="O326" s="3"/>
      <c r="AV326" s="3"/>
    </row>
    <row r="327" spans="14:48" x14ac:dyDescent="0.3">
      <c r="N327" s="3"/>
      <c r="O327" s="3"/>
      <c r="AV327" s="3"/>
    </row>
    <row r="328" spans="14:48" x14ac:dyDescent="0.3">
      <c r="N328" s="3"/>
      <c r="O328" s="3"/>
      <c r="AV328" s="3"/>
    </row>
    <row r="329" spans="14:48" x14ac:dyDescent="0.3">
      <c r="N329" s="3"/>
      <c r="O329" s="3"/>
      <c r="AV329" s="3"/>
    </row>
    <row r="330" spans="14:48" x14ac:dyDescent="0.3">
      <c r="N330" s="3"/>
      <c r="O330" s="3"/>
      <c r="AV330" s="3"/>
    </row>
    <row r="331" spans="14:48" x14ac:dyDescent="0.3">
      <c r="AV331" s="3"/>
    </row>
    <row r="332" spans="14:48" x14ac:dyDescent="0.3">
      <c r="AV332" s="3"/>
    </row>
    <row r="333" spans="14:48" x14ac:dyDescent="0.3">
      <c r="AV333" s="3"/>
    </row>
    <row r="334" spans="14:48" x14ac:dyDescent="0.3">
      <c r="AV334" s="3"/>
    </row>
    <row r="335" spans="14:48" x14ac:dyDescent="0.3">
      <c r="AV335" s="3"/>
    </row>
    <row r="336" spans="14:48" x14ac:dyDescent="0.3">
      <c r="AV336" s="3"/>
    </row>
    <row r="337" spans="48:48" x14ac:dyDescent="0.3">
      <c r="AV337" s="3"/>
    </row>
    <row r="338" spans="48:48" x14ac:dyDescent="0.3">
      <c r="AV338" s="3"/>
    </row>
    <row r="339" spans="48:48" x14ac:dyDescent="0.3">
      <c r="AV339" s="3"/>
    </row>
    <row r="340" spans="48:48" x14ac:dyDescent="0.3">
      <c r="AV340" s="3"/>
    </row>
    <row r="341" spans="48:48" x14ac:dyDescent="0.3">
      <c r="AV341" s="3"/>
    </row>
    <row r="342" spans="48:48" x14ac:dyDescent="0.3">
      <c r="AV342" s="3"/>
    </row>
    <row r="343" spans="48:48" x14ac:dyDescent="0.3">
      <c r="AV343" s="3"/>
    </row>
    <row r="344" spans="48:48" x14ac:dyDescent="0.3">
      <c r="AV344" s="3"/>
    </row>
    <row r="345" spans="48:48" x14ac:dyDescent="0.3">
      <c r="AV345" s="3"/>
    </row>
    <row r="346" spans="48:48" x14ac:dyDescent="0.3">
      <c r="AV346" s="3"/>
    </row>
    <row r="347" spans="48:48" x14ac:dyDescent="0.3">
      <c r="AV347" s="3"/>
    </row>
    <row r="348" spans="48:48" x14ac:dyDescent="0.3">
      <c r="AV348" s="3"/>
    </row>
    <row r="349" spans="48:48" x14ac:dyDescent="0.3">
      <c r="AV349" s="3"/>
    </row>
    <row r="350" spans="48:48" x14ac:dyDescent="0.3">
      <c r="AV350" s="3"/>
    </row>
    <row r="351" spans="48:48" x14ac:dyDescent="0.3">
      <c r="AV351" s="3"/>
    </row>
    <row r="352" spans="48:48" x14ac:dyDescent="0.3">
      <c r="AV352" s="3"/>
    </row>
    <row r="353" spans="48:48" x14ac:dyDescent="0.3">
      <c r="AV353" s="3"/>
    </row>
    <row r="354" spans="48:48" x14ac:dyDescent="0.3">
      <c r="AV354" s="3"/>
    </row>
    <row r="355" spans="48:48" x14ac:dyDescent="0.3">
      <c r="AV355" s="3"/>
    </row>
    <row r="356" spans="48:48" x14ac:dyDescent="0.3">
      <c r="AV356" s="3"/>
    </row>
    <row r="357" spans="48:48" x14ac:dyDescent="0.3">
      <c r="AV357" s="3"/>
    </row>
    <row r="358" spans="48:48" x14ac:dyDescent="0.3">
      <c r="AV358" s="3"/>
    </row>
    <row r="359" spans="48:48" x14ac:dyDescent="0.3">
      <c r="AV359" s="3"/>
    </row>
    <row r="360" spans="48:48" x14ac:dyDescent="0.3">
      <c r="AV360" s="3"/>
    </row>
    <row r="361" spans="48:48" x14ac:dyDescent="0.3">
      <c r="AV361" s="3"/>
    </row>
    <row r="362" spans="48:48" x14ac:dyDescent="0.3">
      <c r="AV362" s="3"/>
    </row>
    <row r="363" spans="48:48" x14ac:dyDescent="0.3">
      <c r="AV363" s="3"/>
    </row>
    <row r="364" spans="48:48" x14ac:dyDescent="0.3">
      <c r="AV364" s="3"/>
    </row>
    <row r="365" spans="48:48" x14ac:dyDescent="0.3">
      <c r="AV365" s="3"/>
    </row>
    <row r="366" spans="48:48" x14ac:dyDescent="0.3">
      <c r="AV366" s="3"/>
    </row>
    <row r="367" spans="48:48" x14ac:dyDescent="0.3">
      <c r="AV367" s="3"/>
    </row>
    <row r="368" spans="48:48" x14ac:dyDescent="0.3">
      <c r="AV368" s="3"/>
    </row>
    <row r="369" spans="48:48" x14ac:dyDescent="0.3">
      <c r="AV369" s="3"/>
    </row>
    <row r="370" spans="48:48" x14ac:dyDescent="0.3">
      <c r="AV370" s="3"/>
    </row>
    <row r="371" spans="48:48" x14ac:dyDescent="0.3">
      <c r="AV371" s="3"/>
    </row>
    <row r="372" spans="48:48" x14ac:dyDescent="0.3">
      <c r="AV372" s="3"/>
    </row>
    <row r="373" spans="48:48" x14ac:dyDescent="0.3">
      <c r="AV373" s="3"/>
    </row>
    <row r="374" spans="48:48" x14ac:dyDescent="0.3">
      <c r="AV374" s="3"/>
    </row>
    <row r="375" spans="48:48" x14ac:dyDescent="0.3">
      <c r="AV375" s="3"/>
    </row>
    <row r="376" spans="48:48" x14ac:dyDescent="0.3">
      <c r="AV376" s="3"/>
    </row>
    <row r="377" spans="48:48" x14ac:dyDescent="0.3">
      <c r="AV377" s="3"/>
    </row>
    <row r="378" spans="48:48" x14ac:dyDescent="0.3">
      <c r="AV378" s="3"/>
    </row>
    <row r="379" spans="48:48" x14ac:dyDescent="0.3">
      <c r="AV379" s="3"/>
    </row>
    <row r="380" spans="48:48" x14ac:dyDescent="0.3">
      <c r="AV380" s="3"/>
    </row>
    <row r="381" spans="48:48" x14ac:dyDescent="0.3">
      <c r="AV381" s="3"/>
    </row>
    <row r="382" spans="48:48" x14ac:dyDescent="0.3">
      <c r="AV382" s="3"/>
    </row>
    <row r="383" spans="48:48" x14ac:dyDescent="0.3">
      <c r="AV383" s="3"/>
    </row>
    <row r="384" spans="48:48" x14ac:dyDescent="0.3">
      <c r="AV384" s="3"/>
    </row>
    <row r="385" spans="48:48" x14ac:dyDescent="0.3">
      <c r="AV385" s="3"/>
    </row>
    <row r="386" spans="48:48" x14ac:dyDescent="0.3">
      <c r="AV386" s="3"/>
    </row>
    <row r="387" spans="48:48" x14ac:dyDescent="0.3">
      <c r="AV387" s="3"/>
    </row>
    <row r="388" spans="48:48" x14ac:dyDescent="0.3">
      <c r="AV388" s="3"/>
    </row>
    <row r="389" spans="48:48" x14ac:dyDescent="0.3">
      <c r="AV389" s="3"/>
    </row>
    <row r="390" spans="48:48" x14ac:dyDescent="0.3">
      <c r="AV390" s="3"/>
    </row>
    <row r="391" spans="48:48" x14ac:dyDescent="0.3">
      <c r="AV391" s="3"/>
    </row>
    <row r="392" spans="48:48" x14ac:dyDescent="0.3">
      <c r="AV392" s="3"/>
    </row>
    <row r="393" spans="48:48" x14ac:dyDescent="0.3">
      <c r="AV393" s="3"/>
    </row>
    <row r="394" spans="48:48" x14ac:dyDescent="0.3">
      <c r="AV394" s="3"/>
    </row>
    <row r="395" spans="48:48" x14ac:dyDescent="0.3">
      <c r="AV395" s="3"/>
    </row>
    <row r="396" spans="48:48" x14ac:dyDescent="0.3">
      <c r="AV396" s="3"/>
    </row>
    <row r="397" spans="48:48" x14ac:dyDescent="0.3">
      <c r="AV397" s="3"/>
    </row>
    <row r="398" spans="48:48" x14ac:dyDescent="0.3">
      <c r="AV398" s="3"/>
    </row>
    <row r="399" spans="48:48" x14ac:dyDescent="0.3">
      <c r="AV399" s="3"/>
    </row>
    <row r="400" spans="48:48" x14ac:dyDescent="0.3">
      <c r="AV400" s="3"/>
    </row>
    <row r="401" spans="48:48" x14ac:dyDescent="0.3">
      <c r="AV401" s="3"/>
    </row>
    <row r="402" spans="48:48" x14ac:dyDescent="0.3">
      <c r="AV402" s="3"/>
    </row>
    <row r="403" spans="48:48" x14ac:dyDescent="0.3">
      <c r="AV403" s="3"/>
    </row>
    <row r="404" spans="48:48" x14ac:dyDescent="0.3">
      <c r="AV404" s="3"/>
    </row>
    <row r="405" spans="48:48" x14ac:dyDescent="0.3">
      <c r="AV405" s="3"/>
    </row>
    <row r="406" spans="48:48" x14ac:dyDescent="0.3">
      <c r="AV406" s="3"/>
    </row>
    <row r="407" spans="48:48" x14ac:dyDescent="0.3">
      <c r="AV407" s="3"/>
    </row>
    <row r="408" spans="48:48" x14ac:dyDescent="0.3">
      <c r="AV408" s="3"/>
    </row>
    <row r="409" spans="48:48" x14ac:dyDescent="0.3">
      <c r="AV409" s="3"/>
    </row>
    <row r="410" spans="48:48" x14ac:dyDescent="0.3">
      <c r="AV410" s="3"/>
    </row>
    <row r="411" spans="48:48" x14ac:dyDescent="0.3">
      <c r="AV411" s="3"/>
    </row>
    <row r="412" spans="48:48" x14ac:dyDescent="0.3">
      <c r="AV412" s="3"/>
    </row>
    <row r="413" spans="48:48" x14ac:dyDescent="0.3">
      <c r="AV413" s="3"/>
    </row>
    <row r="414" spans="48:48" x14ac:dyDescent="0.3">
      <c r="AV414" s="3"/>
    </row>
    <row r="415" spans="48:48" x14ac:dyDescent="0.3">
      <c r="AV415" s="3"/>
    </row>
    <row r="416" spans="48:48" x14ac:dyDescent="0.3">
      <c r="AV416" s="3"/>
    </row>
    <row r="417" spans="48:48" x14ac:dyDescent="0.3">
      <c r="AV417" s="3"/>
    </row>
    <row r="418" spans="48:48" x14ac:dyDescent="0.3">
      <c r="AV418" s="3"/>
    </row>
    <row r="419" spans="48:48" x14ac:dyDescent="0.3">
      <c r="AV419" s="3"/>
    </row>
    <row r="420" spans="48:48" x14ac:dyDescent="0.3">
      <c r="AV420" s="3"/>
    </row>
    <row r="421" spans="48:48" x14ac:dyDescent="0.3">
      <c r="AV421" s="3"/>
    </row>
    <row r="422" spans="48:48" x14ac:dyDescent="0.3">
      <c r="AV422" s="3"/>
    </row>
    <row r="423" spans="48:48" x14ac:dyDescent="0.3">
      <c r="AV423" s="3"/>
    </row>
    <row r="424" spans="48:48" x14ac:dyDescent="0.3">
      <c r="AV424" s="3"/>
    </row>
    <row r="425" spans="48:48" x14ac:dyDescent="0.3">
      <c r="AV425" s="3"/>
    </row>
    <row r="426" spans="48:48" x14ac:dyDescent="0.3">
      <c r="AV426" s="3"/>
    </row>
    <row r="427" spans="48:48" x14ac:dyDescent="0.3">
      <c r="AV427" s="3"/>
    </row>
    <row r="428" spans="48:48" x14ac:dyDescent="0.3">
      <c r="AV428" s="3"/>
    </row>
    <row r="429" spans="48:48" x14ac:dyDescent="0.3">
      <c r="AV429" s="3"/>
    </row>
    <row r="430" spans="48:48" x14ac:dyDescent="0.3">
      <c r="AV430" s="3"/>
    </row>
    <row r="431" spans="48:48" x14ac:dyDescent="0.3">
      <c r="AV431" s="3"/>
    </row>
    <row r="432" spans="48:48" x14ac:dyDescent="0.3">
      <c r="AV432" s="3"/>
    </row>
    <row r="433" spans="48:48" x14ac:dyDescent="0.3">
      <c r="AV433" s="3"/>
    </row>
    <row r="434" spans="48:48" x14ac:dyDescent="0.3">
      <c r="AV434" s="3"/>
    </row>
    <row r="435" spans="48:48" x14ac:dyDescent="0.3">
      <c r="AV435" s="3"/>
    </row>
    <row r="436" spans="48:48" x14ac:dyDescent="0.3">
      <c r="AV436" s="3"/>
    </row>
    <row r="437" spans="48:48" x14ac:dyDescent="0.3">
      <c r="AV437" s="3"/>
    </row>
    <row r="438" spans="48:48" x14ac:dyDescent="0.3">
      <c r="AV438" s="3"/>
    </row>
    <row r="439" spans="48:48" x14ac:dyDescent="0.3">
      <c r="AV439" s="3"/>
    </row>
    <row r="440" spans="48:48" x14ac:dyDescent="0.3">
      <c r="AV440" s="3"/>
    </row>
    <row r="441" spans="48:48" x14ac:dyDescent="0.3">
      <c r="AV441" s="3"/>
    </row>
    <row r="442" spans="48:48" x14ac:dyDescent="0.3">
      <c r="AV442" s="3"/>
    </row>
    <row r="443" spans="48:48" x14ac:dyDescent="0.3">
      <c r="AV443" s="3"/>
    </row>
    <row r="444" spans="48:48" x14ac:dyDescent="0.3">
      <c r="AV444" s="3"/>
    </row>
    <row r="445" spans="48:48" x14ac:dyDescent="0.3">
      <c r="AV445" s="3"/>
    </row>
    <row r="446" spans="48:48" x14ac:dyDescent="0.3">
      <c r="AV446" s="3"/>
    </row>
    <row r="447" spans="48:48" x14ac:dyDescent="0.3">
      <c r="AV447" s="3"/>
    </row>
    <row r="448" spans="48:48" x14ac:dyDescent="0.3">
      <c r="AV448" s="3"/>
    </row>
    <row r="449" spans="48:48" x14ac:dyDescent="0.3">
      <c r="AV449" s="3"/>
    </row>
    <row r="450" spans="48:48" x14ac:dyDescent="0.3">
      <c r="AV450" s="3"/>
    </row>
    <row r="451" spans="48:48" x14ac:dyDescent="0.3">
      <c r="AV451" s="3"/>
    </row>
    <row r="452" spans="48:48" x14ac:dyDescent="0.3">
      <c r="AV452" s="3"/>
    </row>
    <row r="453" spans="48:48" x14ac:dyDescent="0.3">
      <c r="AV453" s="3"/>
    </row>
    <row r="454" spans="48:48" x14ac:dyDescent="0.3">
      <c r="AV454" s="3"/>
    </row>
    <row r="455" spans="48:48" x14ac:dyDescent="0.3">
      <c r="AV455" s="3"/>
    </row>
    <row r="456" spans="48:48" x14ac:dyDescent="0.3">
      <c r="AV456" s="3"/>
    </row>
    <row r="457" spans="48:48" x14ac:dyDescent="0.3">
      <c r="AV457" s="3"/>
    </row>
    <row r="458" spans="48:48" x14ac:dyDescent="0.3">
      <c r="AV458" s="3"/>
    </row>
    <row r="459" spans="48:48" x14ac:dyDescent="0.3">
      <c r="AV459" s="3"/>
    </row>
    <row r="460" spans="48:48" x14ac:dyDescent="0.3">
      <c r="AV460" s="3"/>
    </row>
    <row r="461" spans="48:48" x14ac:dyDescent="0.3">
      <c r="AV461" s="3"/>
    </row>
    <row r="462" spans="48:48" x14ac:dyDescent="0.3">
      <c r="AV462" s="3"/>
    </row>
    <row r="463" spans="48:48" x14ac:dyDescent="0.3">
      <c r="AV463" s="3"/>
    </row>
    <row r="464" spans="48:48" x14ac:dyDescent="0.3">
      <c r="AV464" s="3"/>
    </row>
    <row r="465" spans="48:48" x14ac:dyDescent="0.3">
      <c r="AV465" s="3"/>
    </row>
    <row r="466" spans="48:48" x14ac:dyDescent="0.3">
      <c r="AV466" s="3"/>
    </row>
    <row r="467" spans="48:48" x14ac:dyDescent="0.3">
      <c r="AV467" s="3"/>
    </row>
    <row r="468" spans="48:48" x14ac:dyDescent="0.3">
      <c r="AV468" s="3"/>
    </row>
    <row r="469" spans="48:48" x14ac:dyDescent="0.3">
      <c r="AV469" s="3"/>
    </row>
    <row r="470" spans="48:48" x14ac:dyDescent="0.3">
      <c r="AV470" s="3"/>
    </row>
    <row r="471" spans="48:48" x14ac:dyDescent="0.3">
      <c r="AV471" s="3"/>
    </row>
    <row r="472" spans="48:48" x14ac:dyDescent="0.3">
      <c r="AV472" s="3"/>
    </row>
    <row r="473" spans="48:48" x14ac:dyDescent="0.3">
      <c r="AV473" s="3"/>
    </row>
    <row r="474" spans="48:48" x14ac:dyDescent="0.3">
      <c r="AV474" s="3"/>
    </row>
    <row r="475" spans="48:48" x14ac:dyDescent="0.3">
      <c r="AV475" s="3"/>
    </row>
    <row r="476" spans="48:48" x14ac:dyDescent="0.3">
      <c r="AV476" s="3"/>
    </row>
    <row r="477" spans="48:48" x14ac:dyDescent="0.3">
      <c r="AV477" s="3"/>
    </row>
    <row r="478" spans="48:48" x14ac:dyDescent="0.3">
      <c r="AV478" s="3"/>
    </row>
    <row r="479" spans="48:48" x14ac:dyDescent="0.3">
      <c r="AV479" s="3"/>
    </row>
    <row r="480" spans="48:48" x14ac:dyDescent="0.3">
      <c r="AV480" s="3"/>
    </row>
    <row r="481" spans="48:48" x14ac:dyDescent="0.3">
      <c r="AV481" s="3"/>
    </row>
    <row r="482" spans="48:48" x14ac:dyDescent="0.3">
      <c r="AV482" s="3"/>
    </row>
    <row r="483" spans="48:48" x14ac:dyDescent="0.3">
      <c r="AV483" s="3"/>
    </row>
    <row r="484" spans="48:48" x14ac:dyDescent="0.3">
      <c r="AV484" s="3"/>
    </row>
    <row r="485" spans="48:48" x14ac:dyDescent="0.3">
      <c r="AV485" s="3"/>
    </row>
    <row r="486" spans="48:48" x14ac:dyDescent="0.3">
      <c r="AV486" s="3"/>
    </row>
    <row r="487" spans="48:48" x14ac:dyDescent="0.3">
      <c r="AV487" s="3"/>
    </row>
    <row r="488" spans="48:48" x14ac:dyDescent="0.3">
      <c r="AV488" s="3"/>
    </row>
    <row r="489" spans="48:48" x14ac:dyDescent="0.3">
      <c r="AV489" s="3"/>
    </row>
    <row r="490" spans="48:48" x14ac:dyDescent="0.3">
      <c r="AV490" s="3"/>
    </row>
    <row r="491" spans="48:48" x14ac:dyDescent="0.3">
      <c r="AV491" s="3"/>
    </row>
    <row r="492" spans="48:48" x14ac:dyDescent="0.3">
      <c r="AV492" s="3"/>
    </row>
    <row r="493" spans="48:48" x14ac:dyDescent="0.3">
      <c r="AV493" s="3"/>
    </row>
    <row r="494" spans="48:48" x14ac:dyDescent="0.3">
      <c r="AV494" s="3"/>
    </row>
    <row r="495" spans="48:48" x14ac:dyDescent="0.3">
      <c r="AV495" s="3"/>
    </row>
    <row r="496" spans="48:48" x14ac:dyDescent="0.3">
      <c r="AV496" s="3"/>
    </row>
    <row r="497" spans="48:48" x14ac:dyDescent="0.3">
      <c r="AV497" s="3"/>
    </row>
    <row r="498" spans="48:48" x14ac:dyDescent="0.3">
      <c r="AV498" s="3"/>
    </row>
    <row r="499" spans="48:48" x14ac:dyDescent="0.3">
      <c r="AV499" s="3"/>
    </row>
    <row r="500" spans="48:48" x14ac:dyDescent="0.3">
      <c r="AV500" s="3"/>
    </row>
    <row r="501" spans="48:48" x14ac:dyDescent="0.3">
      <c r="AV501" s="3"/>
    </row>
    <row r="502" spans="48:48" x14ac:dyDescent="0.3">
      <c r="AV502" s="3"/>
    </row>
    <row r="503" spans="48:48" x14ac:dyDescent="0.3">
      <c r="AV503" s="3"/>
    </row>
    <row r="504" spans="48:48" x14ac:dyDescent="0.3">
      <c r="AV504" s="3"/>
    </row>
    <row r="505" spans="48:48" x14ac:dyDescent="0.3">
      <c r="AV505" s="3"/>
    </row>
    <row r="506" spans="48:48" x14ac:dyDescent="0.3">
      <c r="AV506" s="3"/>
    </row>
    <row r="507" spans="48:48" x14ac:dyDescent="0.3">
      <c r="AV507" s="3"/>
    </row>
    <row r="508" spans="48:48" x14ac:dyDescent="0.3">
      <c r="AV508" s="3"/>
    </row>
    <row r="509" spans="48:48" x14ac:dyDescent="0.3">
      <c r="AV509" s="3"/>
    </row>
    <row r="510" spans="48:48" x14ac:dyDescent="0.3">
      <c r="AV510" s="3"/>
    </row>
    <row r="511" spans="48:48" x14ac:dyDescent="0.3">
      <c r="AV511" s="3"/>
    </row>
    <row r="512" spans="48:48" x14ac:dyDescent="0.3">
      <c r="AV512" s="3"/>
    </row>
    <row r="513" spans="48:48" x14ac:dyDescent="0.3">
      <c r="AV513" s="3"/>
    </row>
    <row r="514" spans="48:48" x14ac:dyDescent="0.3">
      <c r="AV514" s="3"/>
    </row>
    <row r="515" spans="48:48" x14ac:dyDescent="0.3">
      <c r="AV515" s="3"/>
    </row>
    <row r="516" spans="48:48" x14ac:dyDescent="0.3">
      <c r="AV516" s="3"/>
    </row>
    <row r="517" spans="48:48" x14ac:dyDescent="0.3">
      <c r="AV517" s="3"/>
    </row>
    <row r="518" spans="48:48" x14ac:dyDescent="0.3">
      <c r="AV518" s="3"/>
    </row>
    <row r="519" spans="48:48" x14ac:dyDescent="0.3">
      <c r="AV519" s="3"/>
    </row>
    <row r="520" spans="48:48" x14ac:dyDescent="0.3">
      <c r="AV520" s="3"/>
    </row>
    <row r="521" spans="48:48" x14ac:dyDescent="0.3">
      <c r="AV521" s="3"/>
    </row>
    <row r="522" spans="48:48" x14ac:dyDescent="0.3">
      <c r="AV522" s="3"/>
    </row>
    <row r="523" spans="48:48" x14ac:dyDescent="0.3">
      <c r="AV523" s="3"/>
    </row>
    <row r="524" spans="48:48" x14ac:dyDescent="0.3">
      <c r="AV524" s="3"/>
    </row>
    <row r="525" spans="48:48" x14ac:dyDescent="0.3">
      <c r="AV525" s="3"/>
    </row>
    <row r="526" spans="48:48" x14ac:dyDescent="0.3">
      <c r="AV526" s="3"/>
    </row>
    <row r="527" spans="48:48" x14ac:dyDescent="0.3">
      <c r="AV527" s="3"/>
    </row>
    <row r="528" spans="48:48" x14ac:dyDescent="0.3">
      <c r="AV528" s="3"/>
    </row>
    <row r="529" spans="48:48" x14ac:dyDescent="0.3">
      <c r="AV529" s="3"/>
    </row>
    <row r="530" spans="48:48" x14ac:dyDescent="0.3">
      <c r="AV530" s="3"/>
    </row>
    <row r="531" spans="48:48" x14ac:dyDescent="0.3">
      <c r="AV531" s="3"/>
    </row>
    <row r="532" spans="48:48" x14ac:dyDescent="0.3">
      <c r="AV532" s="3"/>
    </row>
    <row r="533" spans="48:48" x14ac:dyDescent="0.3">
      <c r="AV533" s="3"/>
    </row>
    <row r="534" spans="48:48" x14ac:dyDescent="0.3">
      <c r="AV534" s="3"/>
    </row>
    <row r="535" spans="48:48" x14ac:dyDescent="0.3">
      <c r="AV535" s="3"/>
    </row>
    <row r="536" spans="48:48" x14ac:dyDescent="0.3">
      <c r="AV536" s="3"/>
    </row>
    <row r="537" spans="48:48" x14ac:dyDescent="0.3">
      <c r="AV537" s="3"/>
    </row>
    <row r="538" spans="48:48" x14ac:dyDescent="0.3">
      <c r="AV538" s="3"/>
    </row>
    <row r="539" spans="48:48" x14ac:dyDescent="0.3">
      <c r="AV539" s="3"/>
    </row>
    <row r="540" spans="48:48" x14ac:dyDescent="0.3">
      <c r="AV540" s="3"/>
    </row>
    <row r="541" spans="48:48" x14ac:dyDescent="0.3">
      <c r="AV541" s="3"/>
    </row>
    <row r="542" spans="48:48" x14ac:dyDescent="0.3">
      <c r="AV542" s="3"/>
    </row>
    <row r="543" spans="48:48" x14ac:dyDescent="0.3">
      <c r="AV543" s="3"/>
    </row>
    <row r="544" spans="48:48" x14ac:dyDescent="0.3">
      <c r="AV544" s="3"/>
    </row>
    <row r="545" spans="48:48" x14ac:dyDescent="0.3">
      <c r="AV545" s="3"/>
    </row>
    <row r="546" spans="48:48" x14ac:dyDescent="0.3">
      <c r="AV546" s="3"/>
    </row>
    <row r="547" spans="48:48" x14ac:dyDescent="0.3">
      <c r="AV547" s="3"/>
    </row>
    <row r="548" spans="48:48" x14ac:dyDescent="0.3">
      <c r="AV548" s="3"/>
    </row>
    <row r="549" spans="48:48" x14ac:dyDescent="0.3">
      <c r="AV549" s="3"/>
    </row>
    <row r="550" spans="48:48" x14ac:dyDescent="0.3">
      <c r="AV550" s="3"/>
    </row>
    <row r="551" spans="48:48" x14ac:dyDescent="0.3">
      <c r="AV551" s="3"/>
    </row>
    <row r="552" spans="48:48" x14ac:dyDescent="0.3">
      <c r="AV552" s="3"/>
    </row>
    <row r="553" spans="48:48" x14ac:dyDescent="0.3">
      <c r="AV553" s="3"/>
    </row>
    <row r="554" spans="48:48" x14ac:dyDescent="0.3">
      <c r="AV554" s="3"/>
    </row>
    <row r="555" spans="48:48" x14ac:dyDescent="0.3">
      <c r="AV555" s="3"/>
    </row>
    <row r="556" spans="48:48" x14ac:dyDescent="0.3">
      <c r="AV556" s="3"/>
    </row>
    <row r="557" spans="48:48" x14ac:dyDescent="0.3">
      <c r="AV557" s="3"/>
    </row>
    <row r="558" spans="48:48" x14ac:dyDescent="0.3">
      <c r="AV558" s="3"/>
    </row>
    <row r="559" spans="48:48" x14ac:dyDescent="0.3">
      <c r="AV559" s="3"/>
    </row>
    <row r="560" spans="48:48" x14ac:dyDescent="0.3">
      <c r="AV560" s="3"/>
    </row>
    <row r="561" spans="48:48" x14ac:dyDescent="0.3">
      <c r="AV561" s="3"/>
    </row>
    <row r="562" spans="48:48" x14ac:dyDescent="0.3">
      <c r="AV562" s="3"/>
    </row>
    <row r="563" spans="48:48" x14ac:dyDescent="0.3">
      <c r="AV563" s="3"/>
    </row>
    <row r="564" spans="48:48" x14ac:dyDescent="0.3">
      <c r="AV564" s="3"/>
    </row>
    <row r="565" spans="48:48" x14ac:dyDescent="0.3">
      <c r="AV565" s="3"/>
    </row>
    <row r="566" spans="48:48" x14ac:dyDescent="0.3">
      <c r="AV566" s="3"/>
    </row>
    <row r="567" spans="48:48" x14ac:dyDescent="0.3">
      <c r="AV567" s="3"/>
    </row>
    <row r="568" spans="48:48" x14ac:dyDescent="0.3">
      <c r="AV568" s="3"/>
    </row>
    <row r="569" spans="48:48" x14ac:dyDescent="0.3">
      <c r="AV569" s="3"/>
    </row>
    <row r="570" spans="48:48" x14ac:dyDescent="0.3">
      <c r="AV570" s="3"/>
    </row>
    <row r="571" spans="48:48" x14ac:dyDescent="0.3">
      <c r="AV571" s="3"/>
    </row>
    <row r="572" spans="48:48" x14ac:dyDescent="0.3">
      <c r="AV572" s="3"/>
    </row>
    <row r="573" spans="48:48" x14ac:dyDescent="0.3">
      <c r="AV573" s="3"/>
    </row>
    <row r="574" spans="48:48" x14ac:dyDescent="0.3">
      <c r="AV574" s="3"/>
    </row>
    <row r="575" spans="48:48" x14ac:dyDescent="0.3">
      <c r="AV575" s="3"/>
    </row>
    <row r="576" spans="48:48" x14ac:dyDescent="0.3">
      <c r="AV576" s="3"/>
    </row>
    <row r="577" spans="48:48" x14ac:dyDescent="0.3">
      <c r="AV577" s="3"/>
    </row>
    <row r="578" spans="48:48" x14ac:dyDescent="0.3">
      <c r="AV578" s="3"/>
    </row>
    <row r="579" spans="48:48" x14ac:dyDescent="0.3">
      <c r="AV579" s="3"/>
    </row>
    <row r="580" spans="48:48" x14ac:dyDescent="0.3">
      <c r="AV580" s="3"/>
    </row>
    <row r="581" spans="48:48" x14ac:dyDescent="0.3">
      <c r="AV581" s="3"/>
    </row>
    <row r="582" spans="48:48" x14ac:dyDescent="0.3">
      <c r="AV582" s="3"/>
    </row>
    <row r="583" spans="48:48" x14ac:dyDescent="0.3">
      <c r="AV583" s="3"/>
    </row>
    <row r="584" spans="48:48" x14ac:dyDescent="0.3">
      <c r="AV584" s="3"/>
    </row>
    <row r="585" spans="48:48" x14ac:dyDescent="0.3">
      <c r="AV585" s="3"/>
    </row>
    <row r="586" spans="48:48" x14ac:dyDescent="0.3">
      <c r="AV586" s="3"/>
    </row>
    <row r="587" spans="48:48" x14ac:dyDescent="0.3">
      <c r="AV587" s="3"/>
    </row>
    <row r="588" spans="48:48" x14ac:dyDescent="0.3">
      <c r="AV588" s="3"/>
    </row>
    <row r="589" spans="48:48" x14ac:dyDescent="0.3">
      <c r="AV589" s="3"/>
    </row>
    <row r="590" spans="48:48" x14ac:dyDescent="0.3">
      <c r="AV590" s="3"/>
    </row>
    <row r="591" spans="48:48" x14ac:dyDescent="0.3">
      <c r="AV591" s="3"/>
    </row>
    <row r="592" spans="48:48" x14ac:dyDescent="0.3">
      <c r="AV592" s="3"/>
    </row>
    <row r="593" spans="48:48" x14ac:dyDescent="0.3">
      <c r="AV593" s="3"/>
    </row>
    <row r="594" spans="48:48" x14ac:dyDescent="0.3">
      <c r="AV594" s="3"/>
    </row>
    <row r="595" spans="48:48" x14ac:dyDescent="0.3">
      <c r="AV595" s="3"/>
    </row>
    <row r="596" spans="48:48" x14ac:dyDescent="0.3">
      <c r="AV596" s="3"/>
    </row>
    <row r="597" spans="48:48" x14ac:dyDescent="0.3">
      <c r="AV597" s="3"/>
    </row>
    <row r="598" spans="48:48" x14ac:dyDescent="0.3">
      <c r="AV598" s="3"/>
    </row>
    <row r="599" spans="48:48" x14ac:dyDescent="0.3">
      <c r="AV599" s="3"/>
    </row>
    <row r="600" spans="48:48" x14ac:dyDescent="0.3">
      <c r="AV600" s="3"/>
    </row>
    <row r="601" spans="48:48" x14ac:dyDescent="0.3">
      <c r="AV601" s="3"/>
    </row>
    <row r="602" spans="48:48" x14ac:dyDescent="0.3">
      <c r="AV602" s="3"/>
    </row>
    <row r="603" spans="48:48" x14ac:dyDescent="0.3">
      <c r="AV603" s="3"/>
    </row>
    <row r="604" spans="48:48" x14ac:dyDescent="0.3">
      <c r="AV604" s="3"/>
    </row>
    <row r="605" spans="48:48" x14ac:dyDescent="0.3">
      <c r="AV605" s="3"/>
    </row>
    <row r="606" spans="48:48" x14ac:dyDescent="0.3">
      <c r="AV606" s="3"/>
    </row>
    <row r="607" spans="48:48" x14ac:dyDescent="0.3">
      <c r="AV607" s="3"/>
    </row>
    <row r="608" spans="48:48" x14ac:dyDescent="0.3">
      <c r="AV608" s="3"/>
    </row>
    <row r="609" spans="48:48" x14ac:dyDescent="0.3">
      <c r="AV609" s="3"/>
    </row>
    <row r="610" spans="48:48" x14ac:dyDescent="0.3">
      <c r="AV610" s="3"/>
    </row>
    <row r="611" spans="48:48" x14ac:dyDescent="0.3">
      <c r="AV611" s="3"/>
    </row>
    <row r="612" spans="48:48" x14ac:dyDescent="0.3">
      <c r="AV612" s="3"/>
    </row>
    <row r="613" spans="48:48" x14ac:dyDescent="0.3">
      <c r="AV613" s="3"/>
    </row>
    <row r="614" spans="48:48" x14ac:dyDescent="0.3">
      <c r="AV614" s="3"/>
    </row>
    <row r="615" spans="48:48" x14ac:dyDescent="0.3">
      <c r="AV615" s="3"/>
    </row>
    <row r="616" spans="48:48" x14ac:dyDescent="0.3">
      <c r="AV616" s="3"/>
    </row>
    <row r="617" spans="48:48" x14ac:dyDescent="0.3">
      <c r="AV617" s="3"/>
    </row>
    <row r="618" spans="48:48" x14ac:dyDescent="0.3">
      <c r="AV618" s="3"/>
    </row>
    <row r="619" spans="48:48" x14ac:dyDescent="0.3">
      <c r="AV619" s="3"/>
    </row>
    <row r="620" spans="48:48" x14ac:dyDescent="0.3">
      <c r="AV620" s="3"/>
    </row>
    <row r="621" spans="48:48" x14ac:dyDescent="0.3">
      <c r="AV621" s="3"/>
    </row>
    <row r="622" spans="48:48" x14ac:dyDescent="0.3">
      <c r="AV622" s="3"/>
    </row>
    <row r="623" spans="48:48" x14ac:dyDescent="0.3">
      <c r="AV623" s="3"/>
    </row>
    <row r="624" spans="48:48" x14ac:dyDescent="0.3">
      <c r="AV624" s="3"/>
    </row>
    <row r="625" spans="48:48" x14ac:dyDescent="0.3">
      <c r="AV625" s="3"/>
    </row>
    <row r="626" spans="48:48" x14ac:dyDescent="0.3">
      <c r="AV626" s="3"/>
    </row>
    <row r="627" spans="48:48" x14ac:dyDescent="0.3">
      <c r="AV627" s="3"/>
    </row>
    <row r="628" spans="48:48" x14ac:dyDescent="0.3">
      <c r="AV628" s="3"/>
    </row>
    <row r="629" spans="48:48" x14ac:dyDescent="0.3">
      <c r="AV629" s="3"/>
    </row>
    <row r="630" spans="48:48" x14ac:dyDescent="0.3">
      <c r="AV630" s="3"/>
    </row>
    <row r="631" spans="48:48" x14ac:dyDescent="0.3">
      <c r="AV631" s="3"/>
    </row>
    <row r="632" spans="48:48" x14ac:dyDescent="0.3">
      <c r="AV632" s="3"/>
    </row>
    <row r="633" spans="48:48" x14ac:dyDescent="0.3">
      <c r="AV633" s="3"/>
    </row>
    <row r="634" spans="48:48" x14ac:dyDescent="0.3">
      <c r="AV634" s="3"/>
    </row>
    <row r="635" spans="48:48" x14ac:dyDescent="0.3">
      <c r="AV635" s="3"/>
    </row>
    <row r="636" spans="48:48" x14ac:dyDescent="0.3">
      <c r="AV636" s="3"/>
    </row>
    <row r="637" spans="48:48" x14ac:dyDescent="0.3">
      <c r="AV637" s="3"/>
    </row>
    <row r="638" spans="48:48" x14ac:dyDescent="0.3">
      <c r="AV638" s="3"/>
    </row>
    <row r="639" spans="48:48" x14ac:dyDescent="0.3">
      <c r="AV639" s="3"/>
    </row>
    <row r="640" spans="48:48" x14ac:dyDescent="0.3">
      <c r="AV640" s="3"/>
    </row>
    <row r="641" spans="48:48" x14ac:dyDescent="0.3">
      <c r="AV641" s="3"/>
    </row>
    <row r="642" spans="48:48" x14ac:dyDescent="0.3">
      <c r="AV642" s="3"/>
    </row>
    <row r="643" spans="48:48" x14ac:dyDescent="0.3">
      <c r="AV643" s="3"/>
    </row>
    <row r="644" spans="48:48" x14ac:dyDescent="0.3">
      <c r="AV644" s="3"/>
    </row>
    <row r="645" spans="48:48" x14ac:dyDescent="0.3">
      <c r="AV645" s="3"/>
    </row>
    <row r="646" spans="48:48" x14ac:dyDescent="0.3">
      <c r="AV646" s="3"/>
    </row>
    <row r="647" spans="48:48" x14ac:dyDescent="0.3">
      <c r="AV647" s="3"/>
    </row>
    <row r="648" spans="48:48" x14ac:dyDescent="0.3">
      <c r="AV648" s="3"/>
    </row>
    <row r="649" spans="48:48" x14ac:dyDescent="0.3">
      <c r="AV649" s="3"/>
    </row>
    <row r="650" spans="48:48" x14ac:dyDescent="0.3">
      <c r="AV650" s="3"/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388CF-BC2B-4DB1-8FD2-CD205EEE7309}">
  <dimension ref="A1:BE165"/>
  <sheetViews>
    <sheetView workbookViewId="0">
      <selection activeCell="H47" sqref="H47"/>
    </sheetView>
  </sheetViews>
  <sheetFormatPr baseColWidth="10" defaultRowHeight="14.4" x14ac:dyDescent="0.3"/>
  <cols>
    <col min="2" max="2" width="13.88671875" customWidth="1"/>
    <col min="3" max="3" width="4.88671875" bestFit="1" customWidth="1"/>
    <col min="4" max="4" width="7.21875" bestFit="1" customWidth="1"/>
    <col min="5" max="5" width="7.77734375" bestFit="1" customWidth="1"/>
    <col min="6" max="7" width="8.5546875" bestFit="1" customWidth="1"/>
    <col min="8" max="8" width="15.109375" bestFit="1" customWidth="1"/>
    <col min="9" max="9" width="8.5546875" bestFit="1" customWidth="1"/>
    <col min="10" max="10" width="14.44140625" customWidth="1"/>
    <col min="11" max="11" width="8.5546875" bestFit="1" customWidth="1"/>
    <col min="12" max="13" width="12" bestFit="1" customWidth="1"/>
    <col min="14" max="14" width="16.109375" bestFit="1" customWidth="1"/>
    <col min="15" max="15" width="11.21875" customWidth="1"/>
    <col min="16" max="16" width="12" customWidth="1"/>
    <col min="17" max="17" width="4.88671875" bestFit="1" customWidth="1"/>
    <col min="18" max="18" width="7.21875" bestFit="1" customWidth="1"/>
    <col min="19" max="19" width="7.77734375" bestFit="1" customWidth="1"/>
    <col min="20" max="21" width="8.5546875" bestFit="1" customWidth="1"/>
    <col min="22" max="22" width="15.109375" bestFit="1" customWidth="1"/>
    <col min="23" max="23" width="8.5546875" bestFit="1" customWidth="1"/>
    <col min="24" max="24" width="11.88671875" customWidth="1"/>
    <col min="25" max="25" width="8.5546875" bestFit="1" customWidth="1"/>
    <col min="26" max="26" width="11" bestFit="1" customWidth="1"/>
    <col min="27" max="27" width="12" bestFit="1" customWidth="1"/>
    <col min="28" max="28" width="16.109375" bestFit="1" customWidth="1"/>
    <col min="31" max="31" width="12.88671875" customWidth="1"/>
    <col min="32" max="32" width="4.88671875" bestFit="1" customWidth="1"/>
    <col min="33" max="33" width="7.21875" bestFit="1" customWidth="1"/>
    <col min="34" max="34" width="7.77734375" bestFit="1" customWidth="1"/>
    <col min="35" max="36" width="8.5546875" bestFit="1" customWidth="1"/>
    <col min="37" max="37" width="15.109375" bestFit="1" customWidth="1"/>
    <col min="38" max="38" width="8.5546875" bestFit="1" customWidth="1"/>
    <col min="39" max="39" width="11" customWidth="1"/>
    <col min="40" max="40" width="8.5546875" bestFit="1" customWidth="1"/>
    <col min="41" max="41" width="11" bestFit="1" customWidth="1"/>
    <col min="42" max="42" width="12" bestFit="1" customWidth="1"/>
    <col min="43" max="43" width="16.109375" bestFit="1" customWidth="1"/>
    <col min="45" max="45" width="13.109375" customWidth="1"/>
    <col min="46" max="46" width="4.88671875" bestFit="1" customWidth="1"/>
    <col min="47" max="47" width="7.21875" bestFit="1" customWidth="1"/>
    <col min="48" max="48" width="7.77734375" bestFit="1" customWidth="1"/>
    <col min="49" max="49" width="8.5546875" bestFit="1" customWidth="1"/>
    <col min="50" max="50" width="9.21875" bestFit="1" customWidth="1"/>
    <col min="51" max="51" width="15.109375" bestFit="1" customWidth="1"/>
    <col min="52" max="52" width="9.21875" bestFit="1" customWidth="1"/>
    <col min="53" max="53" width="10.6640625" customWidth="1"/>
    <col min="54" max="54" width="9.21875" bestFit="1" customWidth="1"/>
    <col min="55" max="55" width="11.6640625" bestFit="1" customWidth="1"/>
    <col min="56" max="56" width="12.6640625" bestFit="1" customWidth="1"/>
    <col min="57" max="57" width="16.109375" bestFit="1" customWidth="1"/>
  </cols>
  <sheetData>
    <row r="1" spans="1:57" ht="15" thickBot="1" x14ac:dyDescent="0.35"/>
    <row r="2" spans="1:57" ht="18" x14ac:dyDescent="0.3">
      <c r="B2" s="92" t="s">
        <v>90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4"/>
      <c r="P2" s="92" t="s">
        <v>94</v>
      </c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4"/>
      <c r="AE2" s="92" t="s">
        <v>95</v>
      </c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4"/>
      <c r="AS2" s="92" t="s">
        <v>96</v>
      </c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4"/>
    </row>
    <row r="3" spans="1:57" ht="15.6" x14ac:dyDescent="0.3">
      <c r="A3" s="1"/>
      <c r="B3" s="26" t="s">
        <v>98</v>
      </c>
      <c r="C3" s="27" t="s">
        <v>100</v>
      </c>
      <c r="D3" s="48" t="s">
        <v>101</v>
      </c>
      <c r="E3" s="27" t="s">
        <v>20</v>
      </c>
      <c r="F3" s="27" t="s">
        <v>15</v>
      </c>
      <c r="G3" s="27" t="s">
        <v>35</v>
      </c>
      <c r="H3" s="27" t="s">
        <v>36</v>
      </c>
      <c r="I3" s="27" t="s">
        <v>35</v>
      </c>
      <c r="J3" s="27" t="s">
        <v>38</v>
      </c>
      <c r="K3" s="27" t="s">
        <v>21</v>
      </c>
      <c r="L3" s="27" t="s">
        <v>21</v>
      </c>
      <c r="M3" s="27" t="s">
        <v>21</v>
      </c>
      <c r="N3" s="42" t="s">
        <v>37</v>
      </c>
      <c r="O3" s="1"/>
      <c r="P3" s="26" t="s">
        <v>98</v>
      </c>
      <c r="Q3" s="27" t="s">
        <v>100</v>
      </c>
      <c r="R3" s="48" t="s">
        <v>101</v>
      </c>
      <c r="S3" s="27" t="s">
        <v>20</v>
      </c>
      <c r="T3" s="27" t="s">
        <v>15</v>
      </c>
      <c r="U3" s="27" t="s">
        <v>35</v>
      </c>
      <c r="V3" s="27" t="s">
        <v>36</v>
      </c>
      <c r="W3" s="27" t="s">
        <v>35</v>
      </c>
      <c r="X3" s="27" t="s">
        <v>38</v>
      </c>
      <c r="Y3" s="27" t="s">
        <v>21</v>
      </c>
      <c r="Z3" s="27" t="s">
        <v>21</v>
      </c>
      <c r="AA3" s="27" t="s">
        <v>21</v>
      </c>
      <c r="AB3" s="42" t="s">
        <v>37</v>
      </c>
      <c r="AC3" s="1"/>
      <c r="AD3" s="1"/>
      <c r="AE3" s="26" t="s">
        <v>98</v>
      </c>
      <c r="AF3" s="27" t="s">
        <v>100</v>
      </c>
      <c r="AG3" s="48" t="s">
        <v>101</v>
      </c>
      <c r="AH3" s="27" t="s">
        <v>20</v>
      </c>
      <c r="AI3" s="27" t="s">
        <v>15</v>
      </c>
      <c r="AJ3" s="27" t="s">
        <v>35</v>
      </c>
      <c r="AK3" s="27" t="s">
        <v>36</v>
      </c>
      <c r="AL3" s="27" t="s">
        <v>35</v>
      </c>
      <c r="AM3" s="27" t="s">
        <v>38</v>
      </c>
      <c r="AN3" s="27" t="s">
        <v>21</v>
      </c>
      <c r="AO3" s="27" t="s">
        <v>21</v>
      </c>
      <c r="AP3" s="27" t="s">
        <v>21</v>
      </c>
      <c r="AQ3" s="42" t="s">
        <v>37</v>
      </c>
      <c r="AR3" s="1"/>
      <c r="AS3" s="26" t="s">
        <v>98</v>
      </c>
      <c r="AT3" s="27" t="s">
        <v>100</v>
      </c>
      <c r="AU3" s="48" t="s">
        <v>101</v>
      </c>
      <c r="AV3" s="27" t="s">
        <v>20</v>
      </c>
      <c r="AW3" s="27" t="s">
        <v>15</v>
      </c>
      <c r="AX3" s="27" t="s">
        <v>35</v>
      </c>
      <c r="AY3" s="27" t="s">
        <v>36</v>
      </c>
      <c r="AZ3" s="27" t="s">
        <v>35</v>
      </c>
      <c r="BA3" s="27" t="s">
        <v>38</v>
      </c>
      <c r="BB3" s="27" t="s">
        <v>21</v>
      </c>
      <c r="BC3" s="27" t="s">
        <v>21</v>
      </c>
      <c r="BD3" s="27" t="s">
        <v>21</v>
      </c>
      <c r="BE3" s="42" t="s">
        <v>37</v>
      </c>
    </row>
    <row r="4" spans="1:57" ht="16.2" x14ac:dyDescent="0.3">
      <c r="A4" s="1"/>
      <c r="B4" s="26" t="s">
        <v>9</v>
      </c>
      <c r="C4" s="27" t="s">
        <v>99</v>
      </c>
      <c r="D4" s="27" t="s">
        <v>9</v>
      </c>
      <c r="E4" s="27" t="s">
        <v>102</v>
      </c>
      <c r="F4" s="27" t="s">
        <v>103</v>
      </c>
      <c r="G4" s="27" t="s">
        <v>104</v>
      </c>
      <c r="H4" s="27" t="s">
        <v>9</v>
      </c>
      <c r="I4" s="27" t="s">
        <v>105</v>
      </c>
      <c r="J4" s="27" t="s">
        <v>13</v>
      </c>
      <c r="K4" s="27" t="s">
        <v>106</v>
      </c>
      <c r="L4" s="27" t="s">
        <v>25</v>
      </c>
      <c r="M4" s="27" t="s">
        <v>107</v>
      </c>
      <c r="N4" s="42" t="s">
        <v>107</v>
      </c>
      <c r="O4" s="1"/>
      <c r="P4" s="26" t="s">
        <v>9</v>
      </c>
      <c r="Q4" s="27" t="s">
        <v>99</v>
      </c>
      <c r="R4" s="27" t="s">
        <v>9</v>
      </c>
      <c r="S4" s="27" t="s">
        <v>102</v>
      </c>
      <c r="T4" s="27" t="s">
        <v>103</v>
      </c>
      <c r="U4" s="27" t="s">
        <v>104</v>
      </c>
      <c r="V4" s="27" t="s">
        <v>9</v>
      </c>
      <c r="W4" s="27" t="s">
        <v>105</v>
      </c>
      <c r="X4" s="27" t="s">
        <v>13</v>
      </c>
      <c r="Y4" s="27" t="s">
        <v>106</v>
      </c>
      <c r="Z4" s="27" t="s">
        <v>25</v>
      </c>
      <c r="AA4" s="27" t="s">
        <v>107</v>
      </c>
      <c r="AB4" s="42" t="s">
        <v>107</v>
      </c>
      <c r="AC4" s="1"/>
      <c r="AD4" s="1"/>
      <c r="AE4" s="26" t="s">
        <v>9</v>
      </c>
      <c r="AF4" s="27" t="s">
        <v>99</v>
      </c>
      <c r="AG4" s="27" t="s">
        <v>9</v>
      </c>
      <c r="AH4" s="27" t="s">
        <v>102</v>
      </c>
      <c r="AI4" s="27" t="s">
        <v>103</v>
      </c>
      <c r="AJ4" s="27" t="s">
        <v>104</v>
      </c>
      <c r="AK4" s="27" t="s">
        <v>9</v>
      </c>
      <c r="AL4" s="27" t="s">
        <v>105</v>
      </c>
      <c r="AM4" s="27" t="s">
        <v>13</v>
      </c>
      <c r="AN4" s="27" t="s">
        <v>106</v>
      </c>
      <c r="AO4" s="27" t="s">
        <v>25</v>
      </c>
      <c r="AP4" s="27" t="s">
        <v>107</v>
      </c>
      <c r="AQ4" s="42" t="s">
        <v>107</v>
      </c>
      <c r="AR4" s="1"/>
      <c r="AS4" s="26" t="s">
        <v>9</v>
      </c>
      <c r="AT4" s="27" t="s">
        <v>99</v>
      </c>
      <c r="AU4" s="27" t="s">
        <v>9</v>
      </c>
      <c r="AV4" s="27" t="s">
        <v>102</v>
      </c>
      <c r="AW4" s="27" t="s">
        <v>103</v>
      </c>
      <c r="AX4" s="27" t="s">
        <v>104</v>
      </c>
      <c r="AY4" s="27" t="s">
        <v>9</v>
      </c>
      <c r="AZ4" s="27" t="s">
        <v>105</v>
      </c>
      <c r="BA4" s="27" t="s">
        <v>13</v>
      </c>
      <c r="BB4" s="27" t="s">
        <v>106</v>
      </c>
      <c r="BC4" s="27" t="s">
        <v>25</v>
      </c>
      <c r="BD4" s="27" t="s">
        <v>107</v>
      </c>
      <c r="BE4" s="42" t="s">
        <v>107</v>
      </c>
    </row>
    <row r="5" spans="1:57" x14ac:dyDescent="0.3">
      <c r="A5" s="1"/>
      <c r="B5" s="28">
        <v>0</v>
      </c>
      <c r="C5" s="27">
        <v>300</v>
      </c>
      <c r="D5" s="27">
        <f>(B6-B5)/2</f>
        <v>0.25</v>
      </c>
      <c r="E5" s="43">
        <f>Cp_Rocks!$P$28</f>
        <v>834.61495385054593</v>
      </c>
      <c r="F5" s="44">
        <v>2800000000000</v>
      </c>
      <c r="G5" s="44">
        <f t="shared" ref="G5:G36" si="0">C5*D5*E5*F5</f>
        <v>1.7526914030861466E+17</v>
      </c>
      <c r="H5" s="27">
        <v>22723</v>
      </c>
      <c r="I5" s="44">
        <f>G5*H5</f>
        <v>3.9826406752326506E+21</v>
      </c>
      <c r="J5" s="27">
        <v>83.5</v>
      </c>
      <c r="K5" s="44">
        <f>I5*J5</f>
        <v>3.3255049638192633E+23</v>
      </c>
      <c r="L5" s="27">
        <f>K5/(1000000*365*24*60*60)</f>
        <v>10545107064.368542</v>
      </c>
      <c r="M5" s="27">
        <f>L5/1000000000000</f>
        <v>1.0545107064368541E-2</v>
      </c>
      <c r="N5" s="42">
        <f>M5</f>
        <v>1.0545107064368541E-2</v>
      </c>
      <c r="O5" s="1"/>
      <c r="P5" s="28">
        <v>0</v>
      </c>
      <c r="Q5" s="27">
        <v>300</v>
      </c>
      <c r="R5" s="27">
        <f>(P6-P5)/2</f>
        <v>0.25</v>
      </c>
      <c r="S5" s="43">
        <f>Cp_Rocks!$P$28</f>
        <v>834.61495385054593</v>
      </c>
      <c r="T5" s="44">
        <v>3000000000000</v>
      </c>
      <c r="U5" s="44">
        <f t="shared" ref="U5:U36" si="1">Q5*R5*S5*T5</f>
        <v>1.8778836461637283E+17</v>
      </c>
      <c r="V5" s="27">
        <v>37416</v>
      </c>
      <c r="W5" s="44">
        <f t="shared" ref="W5:W45" si="2">U5*V5</f>
        <v>7.0262894504862055E+21</v>
      </c>
      <c r="X5" s="27">
        <v>18.600000000000001</v>
      </c>
      <c r="Y5" s="44">
        <f t="shared" ref="Y5:Y45" si="3">W5*X5</f>
        <v>1.3068898377904343E+23</v>
      </c>
      <c r="Z5" s="27">
        <f t="shared" ref="Z5:Z45" si="4">Y5/(1000000*365*24*60*60)</f>
        <v>4144120490.2030516</v>
      </c>
      <c r="AA5" s="27">
        <f t="shared" ref="AA5:AA45" si="5">Z5/1000000000000</f>
        <v>4.1441204902030512E-3</v>
      </c>
      <c r="AB5" s="42">
        <f>AA5</f>
        <v>4.1441204902030512E-3</v>
      </c>
      <c r="AC5" s="1"/>
      <c r="AD5" s="1"/>
      <c r="AE5" s="28">
        <v>0</v>
      </c>
      <c r="AF5" s="27">
        <v>300</v>
      </c>
      <c r="AG5" s="27">
        <f>(AE6-AE5)/2</f>
        <v>0.25</v>
      </c>
      <c r="AH5" s="43">
        <f>Cp_Rocks!$P$28</f>
        <v>834.61495385054593</v>
      </c>
      <c r="AI5" s="44">
        <v>2800000000000</v>
      </c>
      <c r="AJ5" s="44">
        <f t="shared" ref="AJ5:AJ36" si="6">AF5*AG5*AH5*AI5</f>
        <v>1.7526914030861466E+17</v>
      </c>
      <c r="AK5" s="27">
        <v>11145</v>
      </c>
      <c r="AL5" s="44">
        <f>AJ5*AK5</f>
        <v>1.9533745687395104E+21</v>
      </c>
      <c r="AM5" s="27">
        <v>46.9</v>
      </c>
      <c r="AN5" s="44">
        <f>AL5*AM5</f>
        <v>9.1613267273883029E+22</v>
      </c>
      <c r="AO5" s="27">
        <f>AN5/(1000000*365*24*60*60)</f>
        <v>2905037648.2078586</v>
      </c>
      <c r="AP5" s="27">
        <f>AO5/1000000000000</f>
        <v>2.9050376482078586E-3</v>
      </c>
      <c r="AQ5" s="42">
        <f>AP5</f>
        <v>2.9050376482078586E-3</v>
      </c>
      <c r="AR5" s="1"/>
      <c r="AS5" s="28">
        <v>0</v>
      </c>
      <c r="AT5" s="27">
        <v>300</v>
      </c>
      <c r="AU5" s="27">
        <f>(AS6-AS5)/2</f>
        <v>0.25</v>
      </c>
      <c r="AV5" s="43">
        <f>Cp_Rocks!$P$28</f>
        <v>834.61495385054593</v>
      </c>
      <c r="AW5" s="44">
        <v>2800000000000</v>
      </c>
      <c r="AX5" s="44">
        <f t="shared" ref="AX5:AX36" si="7">AT5*AU5*AV5*AW5</f>
        <v>1.7526914030861466E+17</v>
      </c>
      <c r="AY5" s="27">
        <v>21700</v>
      </c>
      <c r="AZ5" s="44">
        <f>AX5*AY5</f>
        <v>3.8033403446969379E+21</v>
      </c>
      <c r="BA5" s="37">
        <v>12.573265651438241</v>
      </c>
      <c r="BB5" s="44">
        <f>AZ5*BA5</f>
        <v>4.782040851670729E+22</v>
      </c>
      <c r="BC5" s="27">
        <f>BB5/(1000000*365*24*60*60)</f>
        <v>1516375206.6434326</v>
      </c>
      <c r="BD5" s="27">
        <f>BC5/1000000000000</f>
        <v>1.5163752066434325E-3</v>
      </c>
      <c r="BE5" s="42">
        <f>BD5</f>
        <v>1.5163752066434325E-3</v>
      </c>
    </row>
    <row r="6" spans="1:57" x14ac:dyDescent="0.3">
      <c r="A6" s="1"/>
      <c r="B6" s="28">
        <v>0.5</v>
      </c>
      <c r="C6" s="27">
        <v>300</v>
      </c>
      <c r="D6" s="37">
        <f t="shared" ref="D6:D37" si="8">B7-B6</f>
        <v>0.5</v>
      </c>
      <c r="E6" s="43">
        <f>Cp_Rocks!$P$28</f>
        <v>834.61495385054593</v>
      </c>
      <c r="F6" s="44">
        <v>2800000000000</v>
      </c>
      <c r="G6" s="44">
        <f t="shared" si="0"/>
        <v>3.5053828061722931E+17</v>
      </c>
      <c r="H6" s="27">
        <v>22723</v>
      </c>
      <c r="I6" s="44">
        <f t="shared" ref="I6:I45" si="9">G6*H6</f>
        <v>7.9652813504653013E+21</v>
      </c>
      <c r="J6" s="27">
        <v>83.5</v>
      </c>
      <c r="K6" s="44">
        <f t="shared" ref="K6:K45" si="10">I6*J6</f>
        <v>6.6510099276385265E+23</v>
      </c>
      <c r="L6" s="27">
        <f t="shared" ref="L6:L45" si="11">K6/(1000000*365*24*60*60)</f>
        <v>21090214128.737083</v>
      </c>
      <c r="M6" s="27">
        <f t="shared" ref="M6:M45" si="12">L6/1000000000000</f>
        <v>2.1090214128737083E-2</v>
      </c>
      <c r="N6" s="42">
        <f>N5+M6</f>
        <v>3.1635321193105623E-2</v>
      </c>
      <c r="O6" s="1"/>
      <c r="P6" s="28">
        <v>0.5</v>
      </c>
      <c r="Q6" s="27">
        <v>300</v>
      </c>
      <c r="R6" s="37">
        <f t="shared" ref="R6:R37" si="13">P7-P6</f>
        <v>0.5</v>
      </c>
      <c r="S6" s="43">
        <f>Cp_Rocks!$P$28</f>
        <v>834.61495385054593</v>
      </c>
      <c r="T6" s="44">
        <v>3000000000000</v>
      </c>
      <c r="U6" s="44">
        <f t="shared" si="1"/>
        <v>3.7557672923274566E+17</v>
      </c>
      <c r="V6" s="27">
        <v>37416</v>
      </c>
      <c r="W6" s="44">
        <f t="shared" si="2"/>
        <v>1.4052578900972411E+22</v>
      </c>
      <c r="X6" s="27">
        <v>18.600000000000001</v>
      </c>
      <c r="Y6" s="44">
        <f t="shared" si="3"/>
        <v>2.6137796755808686E+23</v>
      </c>
      <c r="Z6" s="27">
        <f t="shared" si="4"/>
        <v>8288240980.4061031</v>
      </c>
      <c r="AA6" s="27">
        <f t="shared" si="5"/>
        <v>8.2882409804061023E-3</v>
      </c>
      <c r="AB6" s="42">
        <f>AB5+AA6</f>
        <v>1.2432361470609153E-2</v>
      </c>
      <c r="AC6" s="1"/>
      <c r="AD6" s="1"/>
      <c r="AE6" s="28">
        <v>0.5</v>
      </c>
      <c r="AF6" s="27">
        <v>300</v>
      </c>
      <c r="AG6" s="37">
        <f t="shared" ref="AG6:AG37" si="14">AE7-AE6</f>
        <v>0.5</v>
      </c>
      <c r="AH6" s="43">
        <f>Cp_Rocks!$P$28</f>
        <v>834.61495385054593</v>
      </c>
      <c r="AI6" s="44">
        <v>2800000000000</v>
      </c>
      <c r="AJ6" s="44">
        <f t="shared" si="6"/>
        <v>3.5053828061722931E+17</v>
      </c>
      <c r="AK6" s="27">
        <v>11145</v>
      </c>
      <c r="AL6" s="44">
        <f t="shared" ref="AL6:AL45" si="15">AJ6*AK6</f>
        <v>3.9067491374790208E+21</v>
      </c>
      <c r="AM6" s="27">
        <v>46.9</v>
      </c>
      <c r="AN6" s="44">
        <f t="shared" ref="AN6:AN45" si="16">AL6*AM6</f>
        <v>1.8322653454776606E+23</v>
      </c>
      <c r="AO6" s="27">
        <f t="shared" ref="AO6:AO45" si="17">AN6/(1000000*365*24*60*60)</f>
        <v>5810075296.4157171</v>
      </c>
      <c r="AP6" s="27">
        <f t="shared" ref="AP6:AP45" si="18">AO6/1000000000000</f>
        <v>5.8100752964157171E-3</v>
      </c>
      <c r="AQ6" s="42">
        <f>AQ5+AP6</f>
        <v>8.7151129446235761E-3</v>
      </c>
      <c r="AR6" s="1"/>
      <c r="AS6" s="28">
        <v>0.5</v>
      </c>
      <c r="AT6" s="27">
        <v>300</v>
      </c>
      <c r="AU6" s="37">
        <f t="shared" ref="AU6:AU37" si="19">AS7-AS6</f>
        <v>0.5</v>
      </c>
      <c r="AV6" s="43">
        <f>Cp_Rocks!$P$28</f>
        <v>834.61495385054593</v>
      </c>
      <c r="AW6" s="44">
        <v>2800000000000</v>
      </c>
      <c r="AX6" s="44">
        <f t="shared" si="7"/>
        <v>3.5053828061722931E+17</v>
      </c>
      <c r="AY6" s="27">
        <v>21700</v>
      </c>
      <c r="AZ6" s="44">
        <f t="shared" ref="AZ6:AZ45" si="20">AX6*AY6</f>
        <v>7.6066806893938758E+21</v>
      </c>
      <c r="BA6" s="37">
        <v>12.573265651438241</v>
      </c>
      <c r="BB6" s="44">
        <f t="shared" ref="BB6:BB45" si="21">AZ6*BA6</f>
        <v>9.5640817033414579E+22</v>
      </c>
      <c r="BC6" s="27">
        <f t="shared" ref="BC6:BC45" si="22">BB6/(1000000*365*24*60*60)</f>
        <v>3032750413.2868652</v>
      </c>
      <c r="BD6" s="27">
        <f t="shared" ref="BD6:BD45" si="23">BC6/1000000000000</f>
        <v>3.0327504132868651E-3</v>
      </c>
      <c r="BE6" s="42">
        <f>BE5+BD6</f>
        <v>4.5491256199302974E-3</v>
      </c>
    </row>
    <row r="7" spans="1:57" x14ac:dyDescent="0.3">
      <c r="A7" s="1"/>
      <c r="B7" s="28">
        <v>1</v>
      </c>
      <c r="C7" s="27">
        <v>300</v>
      </c>
      <c r="D7" s="37">
        <f t="shared" si="8"/>
        <v>0.5</v>
      </c>
      <c r="E7" s="43">
        <f>Cp_Rocks!$P$28</f>
        <v>834.61495385054593</v>
      </c>
      <c r="F7" s="44">
        <v>2800000000000</v>
      </c>
      <c r="G7" s="44">
        <f t="shared" si="0"/>
        <v>3.5053828061722931E+17</v>
      </c>
      <c r="H7" s="27">
        <v>22723</v>
      </c>
      <c r="I7" s="44">
        <f t="shared" si="9"/>
        <v>7.9652813504653013E+21</v>
      </c>
      <c r="J7" s="27">
        <v>83.5</v>
      </c>
      <c r="K7" s="44">
        <f t="shared" si="10"/>
        <v>6.6510099276385265E+23</v>
      </c>
      <c r="L7" s="27">
        <f t="shared" si="11"/>
        <v>21090214128.737083</v>
      </c>
      <c r="M7" s="27">
        <f t="shared" si="12"/>
        <v>2.1090214128737083E-2</v>
      </c>
      <c r="N7" s="42">
        <f t="shared" ref="N7:N11" si="24">N6+M7</f>
        <v>5.2725535321842709E-2</v>
      </c>
      <c r="O7" s="1"/>
      <c r="P7" s="28">
        <v>1</v>
      </c>
      <c r="Q7" s="27">
        <v>300</v>
      </c>
      <c r="R7" s="37">
        <f t="shared" si="13"/>
        <v>0.5</v>
      </c>
      <c r="S7" s="43">
        <f>Cp_Rocks!$P$28</f>
        <v>834.61495385054593</v>
      </c>
      <c r="T7" s="44">
        <v>3000000000000</v>
      </c>
      <c r="U7" s="44">
        <f t="shared" si="1"/>
        <v>3.7557672923274566E+17</v>
      </c>
      <c r="V7" s="27">
        <v>37416</v>
      </c>
      <c r="W7" s="44">
        <f t="shared" si="2"/>
        <v>1.4052578900972411E+22</v>
      </c>
      <c r="X7" s="27">
        <v>18.600000000000001</v>
      </c>
      <c r="Y7" s="44">
        <f t="shared" si="3"/>
        <v>2.6137796755808686E+23</v>
      </c>
      <c r="Z7" s="27">
        <f t="shared" si="4"/>
        <v>8288240980.4061031</v>
      </c>
      <c r="AA7" s="27">
        <f t="shared" si="5"/>
        <v>8.2882409804061023E-3</v>
      </c>
      <c r="AB7" s="42">
        <f t="shared" ref="AB7:AB11" si="25">AB6+AA7</f>
        <v>2.0720602451015258E-2</v>
      </c>
      <c r="AC7" s="1"/>
      <c r="AD7" s="1"/>
      <c r="AE7" s="28">
        <v>1</v>
      </c>
      <c r="AF7" s="27">
        <v>300</v>
      </c>
      <c r="AG7" s="37">
        <f t="shared" si="14"/>
        <v>0.5</v>
      </c>
      <c r="AH7" s="43">
        <f>Cp_Rocks!$P$28</f>
        <v>834.61495385054593</v>
      </c>
      <c r="AI7" s="44">
        <v>2800000000000</v>
      </c>
      <c r="AJ7" s="44">
        <f t="shared" si="6"/>
        <v>3.5053828061722931E+17</v>
      </c>
      <c r="AK7" s="27">
        <v>11145</v>
      </c>
      <c r="AL7" s="44">
        <f t="shared" si="15"/>
        <v>3.9067491374790208E+21</v>
      </c>
      <c r="AM7" s="27">
        <v>46.9</v>
      </c>
      <c r="AN7" s="44">
        <f t="shared" si="16"/>
        <v>1.8322653454776606E+23</v>
      </c>
      <c r="AO7" s="27">
        <f t="shared" si="17"/>
        <v>5810075296.4157171</v>
      </c>
      <c r="AP7" s="27">
        <f t="shared" si="18"/>
        <v>5.8100752964157171E-3</v>
      </c>
      <c r="AQ7" s="42">
        <f t="shared" ref="AQ7:AQ11" si="26">AQ6+AP7</f>
        <v>1.4525188241039294E-2</v>
      </c>
      <c r="AR7" s="1"/>
      <c r="AS7" s="28">
        <v>1</v>
      </c>
      <c r="AT7" s="27">
        <v>300</v>
      </c>
      <c r="AU7" s="37">
        <f t="shared" si="19"/>
        <v>0.5</v>
      </c>
      <c r="AV7" s="43">
        <f>Cp_Rocks!$P$28</f>
        <v>834.61495385054593</v>
      </c>
      <c r="AW7" s="44">
        <v>2800000000000</v>
      </c>
      <c r="AX7" s="44">
        <f t="shared" si="7"/>
        <v>3.5053828061722931E+17</v>
      </c>
      <c r="AY7" s="27">
        <v>21700</v>
      </c>
      <c r="AZ7" s="44">
        <f t="shared" si="20"/>
        <v>7.6066806893938758E+21</v>
      </c>
      <c r="BA7" s="37">
        <v>12.573265651438241</v>
      </c>
      <c r="BB7" s="44">
        <f t="shared" si="21"/>
        <v>9.5640817033414579E+22</v>
      </c>
      <c r="BC7" s="27">
        <f t="shared" si="22"/>
        <v>3032750413.2868652</v>
      </c>
      <c r="BD7" s="27">
        <f t="shared" si="23"/>
        <v>3.0327504132868651E-3</v>
      </c>
      <c r="BE7" s="42">
        <f t="shared" ref="BE7:BE11" si="27">BE6+BD7</f>
        <v>7.5818760332171629E-3</v>
      </c>
    </row>
    <row r="8" spans="1:57" x14ac:dyDescent="0.3">
      <c r="A8" s="1"/>
      <c r="B8" s="28">
        <v>1.5</v>
      </c>
      <c r="C8" s="27">
        <v>300</v>
      </c>
      <c r="D8" s="37">
        <f t="shared" si="8"/>
        <v>0.5</v>
      </c>
      <c r="E8" s="43">
        <f>Cp_Rocks!$P$28</f>
        <v>834.61495385054593</v>
      </c>
      <c r="F8" s="44">
        <v>2800000000000</v>
      </c>
      <c r="G8" s="44">
        <f t="shared" si="0"/>
        <v>3.5053828061722931E+17</v>
      </c>
      <c r="H8" s="27">
        <v>22723</v>
      </c>
      <c r="I8" s="44">
        <f t="shared" si="9"/>
        <v>7.9652813504653013E+21</v>
      </c>
      <c r="J8" s="27">
        <v>83.5</v>
      </c>
      <c r="K8" s="44">
        <f t="shared" si="10"/>
        <v>6.6510099276385265E+23</v>
      </c>
      <c r="L8" s="27">
        <f t="shared" si="11"/>
        <v>21090214128.737083</v>
      </c>
      <c r="M8" s="27">
        <f t="shared" si="12"/>
        <v>2.1090214128737083E-2</v>
      </c>
      <c r="N8" s="42">
        <f t="shared" si="24"/>
        <v>7.3815749450579796E-2</v>
      </c>
      <c r="O8" s="1"/>
      <c r="P8" s="28">
        <v>1.5</v>
      </c>
      <c r="Q8" s="27">
        <v>300</v>
      </c>
      <c r="R8" s="37">
        <f t="shared" si="13"/>
        <v>0.5</v>
      </c>
      <c r="S8" s="43">
        <f>Cp_Rocks!$P$28</f>
        <v>834.61495385054593</v>
      </c>
      <c r="T8" s="44">
        <v>3000000000000</v>
      </c>
      <c r="U8" s="44">
        <f t="shared" si="1"/>
        <v>3.7557672923274566E+17</v>
      </c>
      <c r="V8" s="27">
        <v>37416</v>
      </c>
      <c r="W8" s="44">
        <f t="shared" si="2"/>
        <v>1.4052578900972411E+22</v>
      </c>
      <c r="X8" s="27">
        <v>18.600000000000001</v>
      </c>
      <c r="Y8" s="44">
        <f t="shared" si="3"/>
        <v>2.6137796755808686E+23</v>
      </c>
      <c r="Z8" s="27">
        <f t="shared" si="4"/>
        <v>8288240980.4061031</v>
      </c>
      <c r="AA8" s="27">
        <f t="shared" si="5"/>
        <v>8.2882409804061023E-3</v>
      </c>
      <c r="AB8" s="42">
        <f t="shared" si="25"/>
        <v>2.900884343142136E-2</v>
      </c>
      <c r="AC8" s="1"/>
      <c r="AD8" s="1"/>
      <c r="AE8" s="28">
        <v>1.5</v>
      </c>
      <c r="AF8" s="27">
        <v>300</v>
      </c>
      <c r="AG8" s="37">
        <f t="shared" si="14"/>
        <v>0.5</v>
      </c>
      <c r="AH8" s="43">
        <f>Cp_Rocks!$P$28</f>
        <v>834.61495385054593</v>
      </c>
      <c r="AI8" s="44">
        <v>2800000000000</v>
      </c>
      <c r="AJ8" s="44">
        <f t="shared" si="6"/>
        <v>3.5053828061722931E+17</v>
      </c>
      <c r="AK8" s="27">
        <v>11145</v>
      </c>
      <c r="AL8" s="44">
        <f t="shared" si="15"/>
        <v>3.9067491374790208E+21</v>
      </c>
      <c r="AM8" s="27">
        <v>46.9</v>
      </c>
      <c r="AN8" s="44">
        <f t="shared" si="16"/>
        <v>1.8322653454776606E+23</v>
      </c>
      <c r="AO8" s="27">
        <f t="shared" si="17"/>
        <v>5810075296.4157171</v>
      </c>
      <c r="AP8" s="27">
        <f t="shared" si="18"/>
        <v>5.8100752964157171E-3</v>
      </c>
      <c r="AQ8" s="42">
        <f t="shared" si="26"/>
        <v>2.033526353745501E-2</v>
      </c>
      <c r="AR8" s="1"/>
      <c r="AS8" s="28">
        <v>1.5</v>
      </c>
      <c r="AT8" s="27">
        <v>300</v>
      </c>
      <c r="AU8" s="37">
        <f t="shared" si="19"/>
        <v>0.5</v>
      </c>
      <c r="AV8" s="43">
        <f>Cp_Rocks!$P$28</f>
        <v>834.61495385054593</v>
      </c>
      <c r="AW8" s="44">
        <v>2800000000000</v>
      </c>
      <c r="AX8" s="44">
        <f t="shared" si="7"/>
        <v>3.5053828061722931E+17</v>
      </c>
      <c r="AY8" s="27">
        <v>21700</v>
      </c>
      <c r="AZ8" s="44">
        <f t="shared" si="20"/>
        <v>7.6066806893938758E+21</v>
      </c>
      <c r="BA8" s="37">
        <v>12.573265651438241</v>
      </c>
      <c r="BB8" s="44">
        <f t="shared" si="21"/>
        <v>9.5640817033414579E+22</v>
      </c>
      <c r="BC8" s="27">
        <f t="shared" si="22"/>
        <v>3032750413.2868652</v>
      </c>
      <c r="BD8" s="27">
        <f t="shared" si="23"/>
        <v>3.0327504132868651E-3</v>
      </c>
      <c r="BE8" s="42">
        <f t="shared" si="27"/>
        <v>1.0614626446504028E-2</v>
      </c>
    </row>
    <row r="9" spans="1:57" x14ac:dyDescent="0.3">
      <c r="A9" s="1"/>
      <c r="B9" s="28">
        <v>2</v>
      </c>
      <c r="C9" s="27">
        <v>300</v>
      </c>
      <c r="D9" s="37">
        <f t="shared" si="8"/>
        <v>0.5</v>
      </c>
      <c r="E9" s="43">
        <f>Cp_Rocks!$P$28</f>
        <v>834.61495385054593</v>
      </c>
      <c r="F9" s="44">
        <v>2800000000000</v>
      </c>
      <c r="G9" s="44">
        <f t="shared" si="0"/>
        <v>3.5053828061722931E+17</v>
      </c>
      <c r="H9" s="27">
        <v>22723</v>
      </c>
      <c r="I9" s="44">
        <f t="shared" si="9"/>
        <v>7.9652813504653013E+21</v>
      </c>
      <c r="J9" s="27">
        <v>83.5</v>
      </c>
      <c r="K9" s="44">
        <f t="shared" si="10"/>
        <v>6.6510099276385265E+23</v>
      </c>
      <c r="L9" s="27">
        <f t="shared" si="11"/>
        <v>21090214128.737083</v>
      </c>
      <c r="M9" s="27">
        <f t="shared" si="12"/>
        <v>2.1090214128737083E-2</v>
      </c>
      <c r="N9" s="42">
        <f t="shared" si="24"/>
        <v>9.4905963579316882E-2</v>
      </c>
      <c r="O9" s="1"/>
      <c r="P9" s="28">
        <v>2</v>
      </c>
      <c r="Q9" s="27">
        <v>300</v>
      </c>
      <c r="R9" s="37">
        <f t="shared" si="13"/>
        <v>0.5</v>
      </c>
      <c r="S9" s="43">
        <f>Cp_Rocks!$P$28</f>
        <v>834.61495385054593</v>
      </c>
      <c r="T9" s="44">
        <v>3000000000000</v>
      </c>
      <c r="U9" s="44">
        <f t="shared" si="1"/>
        <v>3.7557672923274566E+17</v>
      </c>
      <c r="V9" s="27">
        <v>37416</v>
      </c>
      <c r="W9" s="44">
        <f t="shared" si="2"/>
        <v>1.4052578900972411E+22</v>
      </c>
      <c r="X9" s="27">
        <v>18.600000000000001</v>
      </c>
      <c r="Y9" s="44">
        <f t="shared" si="3"/>
        <v>2.6137796755808686E+23</v>
      </c>
      <c r="Z9" s="27">
        <f t="shared" si="4"/>
        <v>8288240980.4061031</v>
      </c>
      <c r="AA9" s="27">
        <f t="shared" si="5"/>
        <v>8.2882409804061023E-3</v>
      </c>
      <c r="AB9" s="42">
        <f t="shared" si="25"/>
        <v>3.7297084411827462E-2</v>
      </c>
      <c r="AC9" s="1"/>
      <c r="AD9" s="1"/>
      <c r="AE9" s="28">
        <v>2</v>
      </c>
      <c r="AF9" s="27">
        <v>300</v>
      </c>
      <c r="AG9" s="37">
        <f t="shared" si="14"/>
        <v>0.5</v>
      </c>
      <c r="AH9" s="43">
        <f>Cp_Rocks!$P$28</f>
        <v>834.61495385054593</v>
      </c>
      <c r="AI9" s="44">
        <v>2800000000000</v>
      </c>
      <c r="AJ9" s="44">
        <f t="shared" si="6"/>
        <v>3.5053828061722931E+17</v>
      </c>
      <c r="AK9" s="27">
        <v>11145</v>
      </c>
      <c r="AL9" s="44">
        <f t="shared" si="15"/>
        <v>3.9067491374790208E+21</v>
      </c>
      <c r="AM9" s="27">
        <v>46.9</v>
      </c>
      <c r="AN9" s="44">
        <f t="shared" si="16"/>
        <v>1.8322653454776606E+23</v>
      </c>
      <c r="AO9" s="27">
        <f t="shared" si="17"/>
        <v>5810075296.4157171</v>
      </c>
      <c r="AP9" s="27">
        <f t="shared" si="18"/>
        <v>5.8100752964157171E-3</v>
      </c>
      <c r="AQ9" s="42">
        <f t="shared" si="26"/>
        <v>2.6145338833870727E-2</v>
      </c>
      <c r="AR9" s="1"/>
      <c r="AS9" s="28">
        <v>2</v>
      </c>
      <c r="AT9" s="27">
        <v>300</v>
      </c>
      <c r="AU9" s="37">
        <f t="shared" si="19"/>
        <v>0.5</v>
      </c>
      <c r="AV9" s="43">
        <f>Cp_Rocks!$P$28</f>
        <v>834.61495385054593</v>
      </c>
      <c r="AW9" s="44">
        <v>2800000000000</v>
      </c>
      <c r="AX9" s="44">
        <f t="shared" si="7"/>
        <v>3.5053828061722931E+17</v>
      </c>
      <c r="AY9" s="27">
        <v>21700</v>
      </c>
      <c r="AZ9" s="44">
        <f t="shared" si="20"/>
        <v>7.6066806893938758E+21</v>
      </c>
      <c r="BA9" s="37">
        <v>12.573265651438241</v>
      </c>
      <c r="BB9" s="44">
        <f t="shared" si="21"/>
        <v>9.5640817033414579E+22</v>
      </c>
      <c r="BC9" s="27">
        <f t="shared" si="22"/>
        <v>3032750413.2868652</v>
      </c>
      <c r="BD9" s="27">
        <f t="shared" si="23"/>
        <v>3.0327504132868651E-3</v>
      </c>
      <c r="BE9" s="42">
        <f t="shared" si="27"/>
        <v>1.3647376859790894E-2</v>
      </c>
    </row>
    <row r="10" spans="1:57" x14ac:dyDescent="0.3">
      <c r="A10" s="1"/>
      <c r="B10" s="28">
        <v>2.5</v>
      </c>
      <c r="C10" s="27">
        <v>300</v>
      </c>
      <c r="D10" s="37">
        <f t="shared" si="8"/>
        <v>0.5</v>
      </c>
      <c r="E10" s="43">
        <f>Cp_Rocks!$P$28</f>
        <v>834.61495385054593</v>
      </c>
      <c r="F10" s="44">
        <v>2800000000000</v>
      </c>
      <c r="G10" s="44">
        <f t="shared" si="0"/>
        <v>3.5053828061722931E+17</v>
      </c>
      <c r="H10" s="27">
        <v>22723</v>
      </c>
      <c r="I10" s="44">
        <f t="shared" si="9"/>
        <v>7.9652813504653013E+21</v>
      </c>
      <c r="J10" s="27">
        <v>83.5</v>
      </c>
      <c r="K10" s="44">
        <f t="shared" si="10"/>
        <v>6.6510099276385265E+23</v>
      </c>
      <c r="L10" s="27">
        <f t="shared" si="11"/>
        <v>21090214128.737083</v>
      </c>
      <c r="M10" s="27">
        <f t="shared" si="12"/>
        <v>2.1090214128737083E-2</v>
      </c>
      <c r="N10" s="42">
        <f t="shared" si="24"/>
        <v>0.11599617770805397</v>
      </c>
      <c r="O10" s="1"/>
      <c r="P10" s="28">
        <v>2.5</v>
      </c>
      <c r="Q10" s="27">
        <v>300</v>
      </c>
      <c r="R10" s="37">
        <f t="shared" si="13"/>
        <v>0.5</v>
      </c>
      <c r="S10" s="43">
        <f>Cp_Rocks!$P$28</f>
        <v>834.61495385054593</v>
      </c>
      <c r="T10" s="44">
        <v>3000000000000</v>
      </c>
      <c r="U10" s="44">
        <f t="shared" si="1"/>
        <v>3.7557672923274566E+17</v>
      </c>
      <c r="V10" s="27">
        <v>37416</v>
      </c>
      <c r="W10" s="44">
        <f t="shared" si="2"/>
        <v>1.4052578900972411E+22</v>
      </c>
      <c r="X10" s="27">
        <v>18.600000000000001</v>
      </c>
      <c r="Y10" s="44">
        <f t="shared" si="3"/>
        <v>2.6137796755808686E+23</v>
      </c>
      <c r="Z10" s="27">
        <f t="shared" si="4"/>
        <v>8288240980.4061031</v>
      </c>
      <c r="AA10" s="27">
        <f t="shared" si="5"/>
        <v>8.2882409804061023E-3</v>
      </c>
      <c r="AB10" s="42">
        <f t="shared" si="25"/>
        <v>4.5585325392233561E-2</v>
      </c>
      <c r="AC10" s="1"/>
      <c r="AD10" s="1"/>
      <c r="AE10" s="28">
        <v>2.5</v>
      </c>
      <c r="AF10" s="27">
        <v>300</v>
      </c>
      <c r="AG10" s="37">
        <f t="shared" si="14"/>
        <v>0.5</v>
      </c>
      <c r="AH10" s="43">
        <f>Cp_Rocks!$P$28</f>
        <v>834.61495385054593</v>
      </c>
      <c r="AI10" s="44">
        <v>2800000000000</v>
      </c>
      <c r="AJ10" s="44">
        <f t="shared" si="6"/>
        <v>3.5053828061722931E+17</v>
      </c>
      <c r="AK10" s="27">
        <v>11145</v>
      </c>
      <c r="AL10" s="44">
        <f t="shared" si="15"/>
        <v>3.9067491374790208E+21</v>
      </c>
      <c r="AM10" s="27">
        <v>46.9</v>
      </c>
      <c r="AN10" s="44">
        <f t="shared" si="16"/>
        <v>1.8322653454776606E+23</v>
      </c>
      <c r="AO10" s="27">
        <f t="shared" si="17"/>
        <v>5810075296.4157171</v>
      </c>
      <c r="AP10" s="27">
        <f t="shared" si="18"/>
        <v>5.8100752964157171E-3</v>
      </c>
      <c r="AQ10" s="42">
        <f t="shared" si="26"/>
        <v>3.1955414130286443E-2</v>
      </c>
      <c r="AR10" s="1"/>
      <c r="AS10" s="28">
        <v>2.5</v>
      </c>
      <c r="AT10" s="27">
        <v>300</v>
      </c>
      <c r="AU10" s="37">
        <f t="shared" si="19"/>
        <v>0.5</v>
      </c>
      <c r="AV10" s="43">
        <f>Cp_Rocks!$P$28</f>
        <v>834.61495385054593</v>
      </c>
      <c r="AW10" s="44">
        <v>2800000000000</v>
      </c>
      <c r="AX10" s="44">
        <f t="shared" si="7"/>
        <v>3.5053828061722931E+17</v>
      </c>
      <c r="AY10" s="27">
        <v>21700</v>
      </c>
      <c r="AZ10" s="44">
        <f t="shared" si="20"/>
        <v>7.6066806893938758E+21</v>
      </c>
      <c r="BA10" s="37">
        <v>12.573265651438241</v>
      </c>
      <c r="BB10" s="44">
        <f t="shared" si="21"/>
        <v>9.5640817033414579E+22</v>
      </c>
      <c r="BC10" s="27">
        <f t="shared" si="22"/>
        <v>3032750413.2868652</v>
      </c>
      <c r="BD10" s="27">
        <f t="shared" si="23"/>
        <v>3.0327504132868651E-3</v>
      </c>
      <c r="BE10" s="42">
        <f t="shared" si="27"/>
        <v>1.6680127273077758E-2</v>
      </c>
    </row>
    <row r="11" spans="1:57" x14ac:dyDescent="0.3">
      <c r="A11" s="1"/>
      <c r="B11" s="28">
        <v>3</v>
      </c>
      <c r="C11" s="27">
        <v>300</v>
      </c>
      <c r="D11" s="37">
        <f t="shared" si="8"/>
        <v>0.5</v>
      </c>
      <c r="E11" s="43">
        <f>Cp_Rocks!$P$28</f>
        <v>834.61495385054593</v>
      </c>
      <c r="F11" s="44">
        <v>2800000000000</v>
      </c>
      <c r="G11" s="44">
        <f t="shared" si="0"/>
        <v>3.5053828061722931E+17</v>
      </c>
      <c r="H11" s="27">
        <v>22723</v>
      </c>
      <c r="I11" s="44">
        <f t="shared" si="9"/>
        <v>7.9652813504653013E+21</v>
      </c>
      <c r="J11" s="27">
        <v>83.5</v>
      </c>
      <c r="K11" s="44">
        <f t="shared" si="10"/>
        <v>6.6510099276385265E+23</v>
      </c>
      <c r="L11" s="27">
        <f t="shared" si="11"/>
        <v>21090214128.737083</v>
      </c>
      <c r="M11" s="27">
        <f t="shared" si="12"/>
        <v>2.1090214128737083E-2</v>
      </c>
      <c r="N11" s="42">
        <f t="shared" si="24"/>
        <v>0.13708639183679105</v>
      </c>
      <c r="O11" s="1"/>
      <c r="P11" s="28">
        <v>3</v>
      </c>
      <c r="Q11" s="27">
        <v>300</v>
      </c>
      <c r="R11" s="37">
        <f t="shared" si="13"/>
        <v>0.5</v>
      </c>
      <c r="S11" s="43">
        <f>Cp_Rocks!$P$28</f>
        <v>834.61495385054593</v>
      </c>
      <c r="T11" s="44">
        <v>3000000000000</v>
      </c>
      <c r="U11" s="44">
        <f t="shared" si="1"/>
        <v>3.7557672923274566E+17</v>
      </c>
      <c r="V11" s="27">
        <v>37416</v>
      </c>
      <c r="W11" s="44">
        <f t="shared" si="2"/>
        <v>1.4052578900972411E+22</v>
      </c>
      <c r="X11" s="27">
        <v>18.600000000000001</v>
      </c>
      <c r="Y11" s="44">
        <f t="shared" si="3"/>
        <v>2.6137796755808686E+23</v>
      </c>
      <c r="Z11" s="27">
        <f t="shared" si="4"/>
        <v>8288240980.4061031</v>
      </c>
      <c r="AA11" s="27">
        <f t="shared" si="5"/>
        <v>8.2882409804061023E-3</v>
      </c>
      <c r="AB11" s="42">
        <f t="shared" si="25"/>
        <v>5.3873566372639667E-2</v>
      </c>
      <c r="AC11" s="1"/>
      <c r="AD11" s="1"/>
      <c r="AE11" s="28">
        <v>3</v>
      </c>
      <c r="AF11" s="27">
        <v>300</v>
      </c>
      <c r="AG11" s="37">
        <f t="shared" si="14"/>
        <v>0.5</v>
      </c>
      <c r="AH11" s="43">
        <f>Cp_Rocks!$P$28</f>
        <v>834.61495385054593</v>
      </c>
      <c r="AI11" s="44">
        <v>2800000000000</v>
      </c>
      <c r="AJ11" s="44">
        <f t="shared" si="6"/>
        <v>3.5053828061722931E+17</v>
      </c>
      <c r="AK11" s="27">
        <v>11145</v>
      </c>
      <c r="AL11" s="44">
        <f t="shared" si="15"/>
        <v>3.9067491374790208E+21</v>
      </c>
      <c r="AM11" s="27">
        <v>46.9</v>
      </c>
      <c r="AN11" s="44">
        <f t="shared" si="16"/>
        <v>1.8322653454776606E+23</v>
      </c>
      <c r="AO11" s="27">
        <f t="shared" si="17"/>
        <v>5810075296.4157171</v>
      </c>
      <c r="AP11" s="27">
        <f t="shared" si="18"/>
        <v>5.8100752964157171E-3</v>
      </c>
      <c r="AQ11" s="42">
        <f t="shared" si="26"/>
        <v>3.7765489426702159E-2</v>
      </c>
      <c r="AR11" s="1"/>
      <c r="AS11" s="28">
        <v>3</v>
      </c>
      <c r="AT11" s="27">
        <v>300</v>
      </c>
      <c r="AU11" s="37">
        <f t="shared" si="19"/>
        <v>0.5</v>
      </c>
      <c r="AV11" s="43">
        <f>Cp_Rocks!$P$28</f>
        <v>834.61495385054593</v>
      </c>
      <c r="AW11" s="44">
        <v>2800000000000</v>
      </c>
      <c r="AX11" s="44">
        <f t="shared" si="7"/>
        <v>3.5053828061722931E+17</v>
      </c>
      <c r="AY11" s="27">
        <v>21700</v>
      </c>
      <c r="AZ11" s="44">
        <f t="shared" si="20"/>
        <v>7.6066806893938758E+21</v>
      </c>
      <c r="BA11" s="37">
        <v>12.573265651438241</v>
      </c>
      <c r="BB11" s="44">
        <f t="shared" si="21"/>
        <v>9.5640817033414579E+22</v>
      </c>
      <c r="BC11" s="27">
        <f t="shared" si="22"/>
        <v>3032750413.2868652</v>
      </c>
      <c r="BD11" s="27">
        <f t="shared" si="23"/>
        <v>3.0327504132868651E-3</v>
      </c>
      <c r="BE11" s="42">
        <f t="shared" si="27"/>
        <v>1.9712877686364622E-2</v>
      </c>
    </row>
    <row r="12" spans="1:57" x14ac:dyDescent="0.3">
      <c r="A12" s="1"/>
      <c r="B12" s="28">
        <v>3.5</v>
      </c>
      <c r="C12" s="27">
        <v>300</v>
      </c>
      <c r="D12" s="37">
        <f t="shared" si="8"/>
        <v>0.5</v>
      </c>
      <c r="E12" s="43">
        <f>Cp_Rocks!$P$28</f>
        <v>834.61495385054593</v>
      </c>
      <c r="F12" s="44">
        <v>2800000000000</v>
      </c>
      <c r="G12" s="44">
        <f t="shared" si="0"/>
        <v>3.5053828061722931E+17</v>
      </c>
      <c r="H12" s="27">
        <v>22723</v>
      </c>
      <c r="I12" s="44">
        <f t="shared" si="9"/>
        <v>7.9652813504653013E+21</v>
      </c>
      <c r="J12" s="27">
        <v>83.5</v>
      </c>
      <c r="K12" s="44">
        <f t="shared" si="10"/>
        <v>6.6510099276385265E+23</v>
      </c>
      <c r="L12" s="27">
        <f t="shared" si="11"/>
        <v>21090214128.737083</v>
      </c>
      <c r="M12" s="27">
        <f t="shared" si="12"/>
        <v>2.1090214128737083E-2</v>
      </c>
      <c r="N12" s="42">
        <f>N11+M12</f>
        <v>0.15817660596552813</v>
      </c>
      <c r="O12" s="1"/>
      <c r="P12" s="28">
        <v>3.5</v>
      </c>
      <c r="Q12" s="27">
        <v>300</v>
      </c>
      <c r="R12" s="37">
        <f t="shared" si="13"/>
        <v>0.5</v>
      </c>
      <c r="S12" s="43">
        <f>Cp_Rocks!$P$28</f>
        <v>834.61495385054593</v>
      </c>
      <c r="T12" s="44">
        <v>3000000000000</v>
      </c>
      <c r="U12" s="44">
        <f t="shared" si="1"/>
        <v>3.7557672923274566E+17</v>
      </c>
      <c r="V12" s="27">
        <v>37416</v>
      </c>
      <c r="W12" s="44">
        <f t="shared" si="2"/>
        <v>1.4052578900972411E+22</v>
      </c>
      <c r="X12" s="27">
        <v>18.600000000000001</v>
      </c>
      <c r="Y12" s="44">
        <f t="shared" si="3"/>
        <v>2.6137796755808686E+23</v>
      </c>
      <c r="Z12" s="27">
        <f t="shared" si="4"/>
        <v>8288240980.4061031</v>
      </c>
      <c r="AA12" s="27">
        <f t="shared" si="5"/>
        <v>8.2882409804061023E-3</v>
      </c>
      <c r="AB12" s="42">
        <f t="shared" ref="AB12:AB45" si="28">AB11+AA12</f>
        <v>6.2161807353045773E-2</v>
      </c>
      <c r="AC12" s="1"/>
      <c r="AD12" s="1"/>
      <c r="AE12" s="28">
        <v>3.5</v>
      </c>
      <c r="AF12" s="27">
        <v>300</v>
      </c>
      <c r="AG12" s="37">
        <f t="shared" si="14"/>
        <v>0.5</v>
      </c>
      <c r="AH12" s="43">
        <f>Cp_Rocks!$P$28</f>
        <v>834.61495385054593</v>
      </c>
      <c r="AI12" s="44">
        <v>2800000000000</v>
      </c>
      <c r="AJ12" s="44">
        <f t="shared" si="6"/>
        <v>3.5053828061722931E+17</v>
      </c>
      <c r="AK12" s="27">
        <v>11145</v>
      </c>
      <c r="AL12" s="44">
        <f t="shared" si="15"/>
        <v>3.9067491374790208E+21</v>
      </c>
      <c r="AM12" s="27">
        <v>46.9</v>
      </c>
      <c r="AN12" s="44">
        <f t="shared" si="16"/>
        <v>1.8322653454776606E+23</v>
      </c>
      <c r="AO12" s="27">
        <f t="shared" si="17"/>
        <v>5810075296.4157171</v>
      </c>
      <c r="AP12" s="27">
        <f t="shared" si="18"/>
        <v>5.8100752964157171E-3</v>
      </c>
      <c r="AQ12" s="42">
        <f>AQ11+AP12</f>
        <v>4.3575564723117875E-2</v>
      </c>
      <c r="AR12" s="1"/>
      <c r="AS12" s="28">
        <v>3.5</v>
      </c>
      <c r="AT12" s="27">
        <v>300</v>
      </c>
      <c r="AU12" s="37">
        <f t="shared" si="19"/>
        <v>0.5</v>
      </c>
      <c r="AV12" s="43">
        <f>Cp_Rocks!$P$28</f>
        <v>834.61495385054593</v>
      </c>
      <c r="AW12" s="44">
        <v>2800000000000</v>
      </c>
      <c r="AX12" s="44">
        <f t="shared" si="7"/>
        <v>3.5053828061722931E+17</v>
      </c>
      <c r="AY12" s="27">
        <v>21700</v>
      </c>
      <c r="AZ12" s="44">
        <f t="shared" si="20"/>
        <v>7.6066806893938758E+21</v>
      </c>
      <c r="BA12" s="37">
        <v>12.573265651438241</v>
      </c>
      <c r="BB12" s="44">
        <f t="shared" si="21"/>
        <v>9.5640817033414579E+22</v>
      </c>
      <c r="BC12" s="27">
        <f t="shared" si="22"/>
        <v>3032750413.2868652</v>
      </c>
      <c r="BD12" s="27">
        <f t="shared" si="23"/>
        <v>3.0327504132868651E-3</v>
      </c>
      <c r="BE12" s="42">
        <f>BE11+BD12</f>
        <v>2.2745628099651485E-2</v>
      </c>
    </row>
    <row r="13" spans="1:57" x14ac:dyDescent="0.3">
      <c r="A13" s="1"/>
      <c r="B13" s="28">
        <v>4</v>
      </c>
      <c r="C13" s="27">
        <v>300</v>
      </c>
      <c r="D13" s="37">
        <f t="shared" si="8"/>
        <v>0.5</v>
      </c>
      <c r="E13" s="43">
        <f>Cp_Rocks!$P$28</f>
        <v>834.61495385054593</v>
      </c>
      <c r="F13" s="44">
        <v>2800000000000</v>
      </c>
      <c r="G13" s="44">
        <f t="shared" si="0"/>
        <v>3.5053828061722931E+17</v>
      </c>
      <c r="H13" s="27">
        <v>22723</v>
      </c>
      <c r="I13" s="44">
        <f t="shared" si="9"/>
        <v>7.9652813504653013E+21</v>
      </c>
      <c r="J13" s="27">
        <v>83.5</v>
      </c>
      <c r="K13" s="44">
        <f t="shared" si="10"/>
        <v>6.6510099276385265E+23</v>
      </c>
      <c r="L13" s="27">
        <f t="shared" si="11"/>
        <v>21090214128.737083</v>
      </c>
      <c r="M13" s="27">
        <f t="shared" si="12"/>
        <v>2.1090214128737083E-2</v>
      </c>
      <c r="N13" s="42">
        <f t="shared" ref="N13:N45" si="29">N12+M13</f>
        <v>0.1792668200942652</v>
      </c>
      <c r="O13" s="1"/>
      <c r="P13" s="28">
        <v>4</v>
      </c>
      <c r="Q13" s="27">
        <v>300</v>
      </c>
      <c r="R13" s="37">
        <f t="shared" si="13"/>
        <v>0.5</v>
      </c>
      <c r="S13" s="43">
        <f>Cp_Rocks!$P$28</f>
        <v>834.61495385054593</v>
      </c>
      <c r="T13" s="44">
        <v>3000000000000</v>
      </c>
      <c r="U13" s="44">
        <f t="shared" si="1"/>
        <v>3.7557672923274566E+17</v>
      </c>
      <c r="V13" s="27">
        <v>37416</v>
      </c>
      <c r="W13" s="44">
        <f t="shared" si="2"/>
        <v>1.4052578900972411E+22</v>
      </c>
      <c r="X13" s="27">
        <v>18.600000000000001</v>
      </c>
      <c r="Y13" s="44">
        <f t="shared" si="3"/>
        <v>2.6137796755808686E+23</v>
      </c>
      <c r="Z13" s="27">
        <f t="shared" si="4"/>
        <v>8288240980.4061031</v>
      </c>
      <c r="AA13" s="27">
        <f t="shared" si="5"/>
        <v>8.2882409804061023E-3</v>
      </c>
      <c r="AB13" s="42">
        <f t="shared" si="28"/>
        <v>7.0450048333451878E-2</v>
      </c>
      <c r="AC13" s="1"/>
      <c r="AD13" s="1"/>
      <c r="AE13" s="28">
        <v>4</v>
      </c>
      <c r="AF13" s="27">
        <v>300</v>
      </c>
      <c r="AG13" s="37">
        <f t="shared" si="14"/>
        <v>0.5</v>
      </c>
      <c r="AH13" s="43">
        <f>Cp_Rocks!$P$28</f>
        <v>834.61495385054593</v>
      </c>
      <c r="AI13" s="44">
        <v>2800000000000</v>
      </c>
      <c r="AJ13" s="44">
        <f t="shared" si="6"/>
        <v>3.5053828061722931E+17</v>
      </c>
      <c r="AK13" s="27">
        <v>11145</v>
      </c>
      <c r="AL13" s="44">
        <f t="shared" si="15"/>
        <v>3.9067491374790208E+21</v>
      </c>
      <c r="AM13" s="27">
        <v>46.9</v>
      </c>
      <c r="AN13" s="44">
        <f t="shared" si="16"/>
        <v>1.8322653454776606E+23</v>
      </c>
      <c r="AO13" s="27">
        <f t="shared" si="17"/>
        <v>5810075296.4157171</v>
      </c>
      <c r="AP13" s="27">
        <f t="shared" si="18"/>
        <v>5.8100752964157171E-3</v>
      </c>
      <c r="AQ13" s="42">
        <f t="shared" ref="AQ13:AQ45" si="30">AQ12+AP13</f>
        <v>4.9385640019533592E-2</v>
      </c>
      <c r="AR13" s="1"/>
      <c r="AS13" s="28">
        <v>4</v>
      </c>
      <c r="AT13" s="27">
        <v>300</v>
      </c>
      <c r="AU13" s="37">
        <f t="shared" si="19"/>
        <v>0.5</v>
      </c>
      <c r="AV13" s="43">
        <f>Cp_Rocks!$P$28</f>
        <v>834.61495385054593</v>
      </c>
      <c r="AW13" s="44">
        <v>2800000000000</v>
      </c>
      <c r="AX13" s="44">
        <f t="shared" si="7"/>
        <v>3.5053828061722931E+17</v>
      </c>
      <c r="AY13" s="27">
        <v>21700</v>
      </c>
      <c r="AZ13" s="44">
        <f t="shared" si="20"/>
        <v>7.6066806893938758E+21</v>
      </c>
      <c r="BA13" s="37">
        <v>12.573265651438241</v>
      </c>
      <c r="BB13" s="44">
        <f t="shared" si="21"/>
        <v>9.5640817033414579E+22</v>
      </c>
      <c r="BC13" s="27">
        <f t="shared" si="22"/>
        <v>3032750413.2868652</v>
      </c>
      <c r="BD13" s="27">
        <f t="shared" si="23"/>
        <v>3.0327504132868651E-3</v>
      </c>
      <c r="BE13" s="42">
        <f t="shared" ref="BE13:BE45" si="31">BE12+BD13</f>
        <v>2.5778378512938349E-2</v>
      </c>
    </row>
    <row r="14" spans="1:57" x14ac:dyDescent="0.3">
      <c r="A14" s="1"/>
      <c r="B14" s="28">
        <v>4.5</v>
      </c>
      <c r="C14" s="27">
        <v>300</v>
      </c>
      <c r="D14" s="37">
        <f t="shared" si="8"/>
        <v>0.5</v>
      </c>
      <c r="E14" s="43">
        <f>Cp_Rocks!$P$28</f>
        <v>834.61495385054593</v>
      </c>
      <c r="F14" s="44">
        <v>2800000000000</v>
      </c>
      <c r="G14" s="44">
        <f t="shared" si="0"/>
        <v>3.5053828061722931E+17</v>
      </c>
      <c r="H14" s="27">
        <v>22723</v>
      </c>
      <c r="I14" s="44">
        <f t="shared" si="9"/>
        <v>7.9652813504653013E+21</v>
      </c>
      <c r="J14" s="27">
        <v>83.5</v>
      </c>
      <c r="K14" s="44">
        <f t="shared" si="10"/>
        <v>6.6510099276385265E+23</v>
      </c>
      <c r="L14" s="27">
        <f t="shared" si="11"/>
        <v>21090214128.737083</v>
      </c>
      <c r="M14" s="27">
        <f t="shared" si="12"/>
        <v>2.1090214128737083E-2</v>
      </c>
      <c r="N14" s="42">
        <f t="shared" si="29"/>
        <v>0.20035703422300227</v>
      </c>
      <c r="O14" s="1"/>
      <c r="P14" s="28">
        <v>4.5</v>
      </c>
      <c r="Q14" s="27">
        <v>300</v>
      </c>
      <c r="R14" s="37">
        <f t="shared" si="13"/>
        <v>0.5</v>
      </c>
      <c r="S14" s="43">
        <f>Cp_Rocks!$P$28</f>
        <v>834.61495385054593</v>
      </c>
      <c r="T14" s="44">
        <v>3000000000000</v>
      </c>
      <c r="U14" s="44">
        <f t="shared" si="1"/>
        <v>3.7557672923274566E+17</v>
      </c>
      <c r="V14" s="27">
        <v>37416</v>
      </c>
      <c r="W14" s="44">
        <f t="shared" si="2"/>
        <v>1.4052578900972411E+22</v>
      </c>
      <c r="X14" s="27">
        <v>18.600000000000001</v>
      </c>
      <c r="Y14" s="44">
        <f t="shared" si="3"/>
        <v>2.6137796755808686E+23</v>
      </c>
      <c r="Z14" s="27">
        <f t="shared" si="4"/>
        <v>8288240980.4061031</v>
      </c>
      <c r="AA14" s="27">
        <f t="shared" si="5"/>
        <v>8.2882409804061023E-3</v>
      </c>
      <c r="AB14" s="42">
        <f t="shared" si="28"/>
        <v>7.8738289313857984E-2</v>
      </c>
      <c r="AC14" s="1"/>
      <c r="AD14" s="1"/>
      <c r="AE14" s="28">
        <v>4.5</v>
      </c>
      <c r="AF14" s="27">
        <v>300</v>
      </c>
      <c r="AG14" s="37">
        <f t="shared" si="14"/>
        <v>0.5</v>
      </c>
      <c r="AH14" s="43">
        <f>Cp_Rocks!$P$28</f>
        <v>834.61495385054593</v>
      </c>
      <c r="AI14" s="44">
        <v>2800000000000</v>
      </c>
      <c r="AJ14" s="44">
        <f t="shared" si="6"/>
        <v>3.5053828061722931E+17</v>
      </c>
      <c r="AK14" s="27">
        <v>11145</v>
      </c>
      <c r="AL14" s="44">
        <f t="shared" si="15"/>
        <v>3.9067491374790208E+21</v>
      </c>
      <c r="AM14" s="27">
        <v>46.9</v>
      </c>
      <c r="AN14" s="44">
        <f t="shared" si="16"/>
        <v>1.8322653454776606E+23</v>
      </c>
      <c r="AO14" s="27">
        <f t="shared" si="17"/>
        <v>5810075296.4157171</v>
      </c>
      <c r="AP14" s="27">
        <f t="shared" si="18"/>
        <v>5.8100752964157171E-3</v>
      </c>
      <c r="AQ14" s="42">
        <f t="shared" si="30"/>
        <v>5.5195715315949308E-2</v>
      </c>
      <c r="AR14" s="1"/>
      <c r="AS14" s="28">
        <v>4.5</v>
      </c>
      <c r="AT14" s="27">
        <v>300</v>
      </c>
      <c r="AU14" s="37">
        <f t="shared" si="19"/>
        <v>0.5</v>
      </c>
      <c r="AV14" s="43">
        <f>Cp_Rocks!$P$28</f>
        <v>834.61495385054593</v>
      </c>
      <c r="AW14" s="44">
        <v>2800000000000</v>
      </c>
      <c r="AX14" s="44">
        <f t="shared" si="7"/>
        <v>3.5053828061722931E+17</v>
      </c>
      <c r="AY14" s="27">
        <v>21700</v>
      </c>
      <c r="AZ14" s="44">
        <f t="shared" si="20"/>
        <v>7.6066806893938758E+21</v>
      </c>
      <c r="BA14" s="37">
        <v>12.573265651438241</v>
      </c>
      <c r="BB14" s="44">
        <f t="shared" si="21"/>
        <v>9.5640817033414579E+22</v>
      </c>
      <c r="BC14" s="27">
        <f t="shared" si="22"/>
        <v>3032750413.2868652</v>
      </c>
      <c r="BD14" s="27">
        <f t="shared" si="23"/>
        <v>3.0327504132868651E-3</v>
      </c>
      <c r="BE14" s="42">
        <f t="shared" si="31"/>
        <v>2.8811128926225213E-2</v>
      </c>
    </row>
    <row r="15" spans="1:57" x14ac:dyDescent="0.3">
      <c r="A15" s="1"/>
      <c r="B15" s="34">
        <v>5</v>
      </c>
      <c r="C15" s="35">
        <v>300</v>
      </c>
      <c r="D15" s="38">
        <f t="shared" si="8"/>
        <v>0.5</v>
      </c>
      <c r="E15" s="49">
        <f>Cp_Rocks!$P$28</f>
        <v>834.61495385054593</v>
      </c>
      <c r="F15" s="50">
        <v>2800000000000</v>
      </c>
      <c r="G15" s="50">
        <f t="shared" si="0"/>
        <v>3.5053828061722931E+17</v>
      </c>
      <c r="H15" s="35">
        <v>22723</v>
      </c>
      <c r="I15" s="50">
        <f t="shared" si="9"/>
        <v>7.9652813504653013E+21</v>
      </c>
      <c r="J15" s="35">
        <v>83.5</v>
      </c>
      <c r="K15" s="50">
        <f t="shared" si="10"/>
        <v>6.6510099276385265E+23</v>
      </c>
      <c r="L15" s="35">
        <f t="shared" si="11"/>
        <v>21090214128.737083</v>
      </c>
      <c r="M15" s="35">
        <f t="shared" si="12"/>
        <v>2.1090214128737083E-2</v>
      </c>
      <c r="N15" s="51">
        <f t="shared" si="29"/>
        <v>0.22144724835173935</v>
      </c>
      <c r="O15" s="1"/>
      <c r="P15" s="28">
        <v>5</v>
      </c>
      <c r="Q15" s="27">
        <v>300</v>
      </c>
      <c r="R15" s="37">
        <f t="shared" si="13"/>
        <v>0.5</v>
      </c>
      <c r="S15" s="43">
        <f>Cp_Rocks!$P$28</f>
        <v>834.61495385054593</v>
      </c>
      <c r="T15" s="44">
        <v>3000000000000</v>
      </c>
      <c r="U15" s="44">
        <f t="shared" si="1"/>
        <v>3.7557672923274566E+17</v>
      </c>
      <c r="V15" s="27">
        <v>37416</v>
      </c>
      <c r="W15" s="44">
        <f t="shared" si="2"/>
        <v>1.4052578900972411E+22</v>
      </c>
      <c r="X15" s="27">
        <v>18.600000000000001</v>
      </c>
      <c r="Y15" s="44">
        <f t="shared" si="3"/>
        <v>2.6137796755808686E+23</v>
      </c>
      <c r="Z15" s="27">
        <f t="shared" si="4"/>
        <v>8288240980.4061031</v>
      </c>
      <c r="AA15" s="27">
        <f t="shared" si="5"/>
        <v>8.2882409804061023E-3</v>
      </c>
      <c r="AB15" s="42">
        <f t="shared" si="28"/>
        <v>8.702653029426409E-2</v>
      </c>
      <c r="AC15" s="1"/>
      <c r="AD15" s="1"/>
      <c r="AE15" s="34">
        <v>5</v>
      </c>
      <c r="AF15" s="35">
        <v>300</v>
      </c>
      <c r="AG15" s="38">
        <f t="shared" si="14"/>
        <v>0.5</v>
      </c>
      <c r="AH15" s="49">
        <f>Cp_Rocks!$P$28</f>
        <v>834.61495385054593</v>
      </c>
      <c r="AI15" s="50">
        <v>2800000000000</v>
      </c>
      <c r="AJ15" s="50">
        <f t="shared" si="6"/>
        <v>3.5053828061722931E+17</v>
      </c>
      <c r="AK15" s="35">
        <v>11145</v>
      </c>
      <c r="AL15" s="50">
        <f t="shared" si="15"/>
        <v>3.9067491374790208E+21</v>
      </c>
      <c r="AM15" s="35">
        <v>46.9</v>
      </c>
      <c r="AN15" s="50">
        <f t="shared" si="16"/>
        <v>1.8322653454776606E+23</v>
      </c>
      <c r="AO15" s="35">
        <f t="shared" si="17"/>
        <v>5810075296.4157171</v>
      </c>
      <c r="AP15" s="35">
        <f t="shared" si="18"/>
        <v>5.8100752964157171E-3</v>
      </c>
      <c r="AQ15" s="51">
        <f t="shared" si="30"/>
        <v>6.1005790612365024E-2</v>
      </c>
      <c r="AR15" s="1"/>
      <c r="AS15" s="28">
        <v>5</v>
      </c>
      <c r="AT15" s="27">
        <v>300</v>
      </c>
      <c r="AU15" s="37">
        <f t="shared" si="19"/>
        <v>0.5</v>
      </c>
      <c r="AV15" s="43">
        <f>Cp_Rocks!$P$28</f>
        <v>834.61495385054593</v>
      </c>
      <c r="AW15" s="44">
        <v>2800000000000</v>
      </c>
      <c r="AX15" s="44">
        <f t="shared" si="7"/>
        <v>3.5053828061722931E+17</v>
      </c>
      <c r="AY15" s="27">
        <v>21700</v>
      </c>
      <c r="AZ15" s="44">
        <f t="shared" si="20"/>
        <v>7.6066806893938758E+21</v>
      </c>
      <c r="BA15" s="37">
        <v>12.573265651438241</v>
      </c>
      <c r="BB15" s="44">
        <f t="shared" si="21"/>
        <v>9.5640817033414579E+22</v>
      </c>
      <c r="BC15" s="27">
        <f t="shared" si="22"/>
        <v>3032750413.2868652</v>
      </c>
      <c r="BD15" s="27">
        <f t="shared" si="23"/>
        <v>3.0327504132868651E-3</v>
      </c>
      <c r="BE15" s="42">
        <f t="shared" si="31"/>
        <v>3.1843879339512077E-2</v>
      </c>
    </row>
    <row r="16" spans="1:57" x14ac:dyDescent="0.3">
      <c r="A16" s="1"/>
      <c r="B16" s="83">
        <v>5.5</v>
      </c>
      <c r="C16" s="84">
        <v>300</v>
      </c>
      <c r="D16" s="85">
        <f t="shared" si="8"/>
        <v>0.5</v>
      </c>
      <c r="E16" s="86">
        <f>Cp_Rocks!$P$28</f>
        <v>834.61495385054593</v>
      </c>
      <c r="F16" s="87">
        <v>2800000000000</v>
      </c>
      <c r="G16" s="87">
        <f t="shared" si="0"/>
        <v>3.5053828061722931E+17</v>
      </c>
      <c r="H16" s="84">
        <v>22723</v>
      </c>
      <c r="I16" s="87">
        <f t="shared" si="9"/>
        <v>7.9652813504653013E+21</v>
      </c>
      <c r="J16" s="84">
        <v>83.5</v>
      </c>
      <c r="K16" s="87">
        <f t="shared" si="10"/>
        <v>6.6510099276385265E+23</v>
      </c>
      <c r="L16" s="84">
        <f t="shared" si="11"/>
        <v>21090214128.737083</v>
      </c>
      <c r="M16" s="84">
        <f t="shared" si="12"/>
        <v>2.1090214128737083E-2</v>
      </c>
      <c r="N16" s="88">
        <f t="shared" si="29"/>
        <v>0.24253746248047642</v>
      </c>
      <c r="O16" s="33"/>
      <c r="P16" s="28">
        <v>5.5</v>
      </c>
      <c r="Q16" s="27">
        <v>300</v>
      </c>
      <c r="R16" s="37">
        <f t="shared" si="13"/>
        <v>0.5</v>
      </c>
      <c r="S16" s="43">
        <f>Cp_Rocks!$P$28</f>
        <v>834.61495385054593</v>
      </c>
      <c r="T16" s="44">
        <v>3000000000000</v>
      </c>
      <c r="U16" s="44">
        <f t="shared" si="1"/>
        <v>3.7557672923274566E+17</v>
      </c>
      <c r="V16" s="27">
        <v>37416</v>
      </c>
      <c r="W16" s="44">
        <f t="shared" si="2"/>
        <v>1.4052578900972411E+22</v>
      </c>
      <c r="X16" s="27">
        <v>18.600000000000001</v>
      </c>
      <c r="Y16" s="44">
        <f t="shared" si="3"/>
        <v>2.6137796755808686E+23</v>
      </c>
      <c r="Z16" s="27">
        <f t="shared" si="4"/>
        <v>8288240980.4061031</v>
      </c>
      <c r="AA16" s="27">
        <f t="shared" si="5"/>
        <v>8.2882409804061023E-3</v>
      </c>
      <c r="AB16" s="42">
        <f t="shared" si="28"/>
        <v>9.5314771274670196E-2</v>
      </c>
      <c r="AC16" s="1"/>
      <c r="AD16" s="1"/>
      <c r="AE16" s="34">
        <v>5.5</v>
      </c>
      <c r="AF16" s="35">
        <v>300</v>
      </c>
      <c r="AG16" s="38">
        <f t="shared" si="14"/>
        <v>0.5</v>
      </c>
      <c r="AH16" s="49">
        <f>Cp_Rocks!$P$28</f>
        <v>834.61495385054593</v>
      </c>
      <c r="AI16" s="50">
        <v>2800000000000</v>
      </c>
      <c r="AJ16" s="50">
        <f t="shared" si="6"/>
        <v>3.5053828061722931E+17</v>
      </c>
      <c r="AK16" s="35">
        <v>11145</v>
      </c>
      <c r="AL16" s="50">
        <f t="shared" si="15"/>
        <v>3.9067491374790208E+21</v>
      </c>
      <c r="AM16" s="35">
        <v>46.9</v>
      </c>
      <c r="AN16" s="50">
        <f t="shared" si="16"/>
        <v>1.8322653454776606E+23</v>
      </c>
      <c r="AO16" s="35">
        <f t="shared" si="17"/>
        <v>5810075296.4157171</v>
      </c>
      <c r="AP16" s="35">
        <f t="shared" si="18"/>
        <v>5.8100752964157171E-3</v>
      </c>
      <c r="AQ16" s="51">
        <f t="shared" si="30"/>
        <v>6.6815865908780747E-2</v>
      </c>
      <c r="AR16" s="1"/>
      <c r="AS16" s="28">
        <v>5.5</v>
      </c>
      <c r="AT16" s="27">
        <v>300</v>
      </c>
      <c r="AU16" s="37">
        <f t="shared" si="19"/>
        <v>0.5</v>
      </c>
      <c r="AV16" s="43">
        <f>Cp_Rocks!$P$28</f>
        <v>834.61495385054593</v>
      </c>
      <c r="AW16" s="44">
        <v>2800000000000</v>
      </c>
      <c r="AX16" s="44">
        <f t="shared" si="7"/>
        <v>3.5053828061722931E+17</v>
      </c>
      <c r="AY16" s="27">
        <v>21700</v>
      </c>
      <c r="AZ16" s="44">
        <f t="shared" si="20"/>
        <v>7.6066806893938758E+21</v>
      </c>
      <c r="BA16" s="37">
        <v>12.573265651438241</v>
      </c>
      <c r="BB16" s="44">
        <f t="shared" si="21"/>
        <v>9.5640817033414579E+22</v>
      </c>
      <c r="BC16" s="27">
        <f t="shared" si="22"/>
        <v>3032750413.2868652</v>
      </c>
      <c r="BD16" s="27">
        <f t="shared" si="23"/>
        <v>3.0327504132868651E-3</v>
      </c>
      <c r="BE16" s="42">
        <f t="shared" si="31"/>
        <v>3.4876629752798941E-2</v>
      </c>
    </row>
    <row r="17" spans="1:57" x14ac:dyDescent="0.3">
      <c r="A17" s="1"/>
      <c r="B17" s="83">
        <v>6</v>
      </c>
      <c r="C17" s="84">
        <v>300</v>
      </c>
      <c r="D17" s="85">
        <f t="shared" si="8"/>
        <v>0.5</v>
      </c>
      <c r="E17" s="86">
        <f>Cp_Rocks!$P$28</f>
        <v>834.61495385054593</v>
      </c>
      <c r="F17" s="87">
        <v>2800000000000</v>
      </c>
      <c r="G17" s="87">
        <f t="shared" si="0"/>
        <v>3.5053828061722931E+17</v>
      </c>
      <c r="H17" s="84">
        <v>22723</v>
      </c>
      <c r="I17" s="87">
        <f t="shared" si="9"/>
        <v>7.9652813504653013E+21</v>
      </c>
      <c r="J17" s="84">
        <v>83.5</v>
      </c>
      <c r="K17" s="87">
        <f t="shared" si="10"/>
        <v>6.6510099276385265E+23</v>
      </c>
      <c r="L17" s="84">
        <f t="shared" si="11"/>
        <v>21090214128.737083</v>
      </c>
      <c r="M17" s="84">
        <f t="shared" si="12"/>
        <v>2.1090214128737083E-2</v>
      </c>
      <c r="N17" s="88">
        <f t="shared" si="29"/>
        <v>0.26362767660921349</v>
      </c>
      <c r="O17" s="1"/>
      <c r="P17" s="28">
        <v>6</v>
      </c>
      <c r="Q17" s="27">
        <v>300</v>
      </c>
      <c r="R17" s="37">
        <f t="shared" si="13"/>
        <v>0.5</v>
      </c>
      <c r="S17" s="43">
        <f>Cp_Rocks!$P$28</f>
        <v>834.61495385054593</v>
      </c>
      <c r="T17" s="44">
        <v>3000000000000</v>
      </c>
      <c r="U17" s="44">
        <f t="shared" si="1"/>
        <v>3.7557672923274566E+17</v>
      </c>
      <c r="V17" s="27">
        <v>37416</v>
      </c>
      <c r="W17" s="44">
        <f t="shared" si="2"/>
        <v>1.4052578900972411E+22</v>
      </c>
      <c r="X17" s="27">
        <v>18.600000000000001</v>
      </c>
      <c r="Y17" s="44">
        <f t="shared" si="3"/>
        <v>2.6137796755808686E+23</v>
      </c>
      <c r="Z17" s="27">
        <f t="shared" si="4"/>
        <v>8288240980.4061031</v>
      </c>
      <c r="AA17" s="27">
        <f t="shared" si="5"/>
        <v>8.2882409804061023E-3</v>
      </c>
      <c r="AB17" s="42">
        <f t="shared" si="28"/>
        <v>0.1036030122550763</v>
      </c>
      <c r="AC17" s="1"/>
      <c r="AD17" s="1"/>
      <c r="AE17" s="83">
        <v>6</v>
      </c>
      <c r="AF17" s="84">
        <v>300</v>
      </c>
      <c r="AG17" s="85">
        <f t="shared" si="14"/>
        <v>0.5</v>
      </c>
      <c r="AH17" s="86">
        <f>Cp_Rocks!$P$28</f>
        <v>834.61495385054593</v>
      </c>
      <c r="AI17" s="87">
        <v>2800000000000</v>
      </c>
      <c r="AJ17" s="87">
        <f t="shared" si="6"/>
        <v>3.5053828061722931E+17</v>
      </c>
      <c r="AK17" s="84">
        <v>11145</v>
      </c>
      <c r="AL17" s="87">
        <f t="shared" si="15"/>
        <v>3.9067491374790208E+21</v>
      </c>
      <c r="AM17" s="84">
        <v>46.9</v>
      </c>
      <c r="AN17" s="87">
        <f t="shared" si="16"/>
        <v>1.8322653454776606E+23</v>
      </c>
      <c r="AO17" s="84">
        <f t="shared" si="17"/>
        <v>5810075296.4157171</v>
      </c>
      <c r="AP17" s="84">
        <f t="shared" si="18"/>
        <v>5.8100752964157171E-3</v>
      </c>
      <c r="AQ17" s="88">
        <f t="shared" si="30"/>
        <v>7.262594120519647E-2</v>
      </c>
      <c r="AR17" s="1"/>
      <c r="AS17" s="28">
        <v>6</v>
      </c>
      <c r="AT17" s="27">
        <v>300</v>
      </c>
      <c r="AU17" s="37">
        <f t="shared" si="19"/>
        <v>0.5</v>
      </c>
      <c r="AV17" s="43">
        <f>Cp_Rocks!$P$28</f>
        <v>834.61495385054593</v>
      </c>
      <c r="AW17" s="44">
        <v>2800000000000</v>
      </c>
      <c r="AX17" s="44">
        <f t="shared" si="7"/>
        <v>3.5053828061722931E+17</v>
      </c>
      <c r="AY17" s="27">
        <v>21700</v>
      </c>
      <c r="AZ17" s="44">
        <f t="shared" si="20"/>
        <v>7.6066806893938758E+21</v>
      </c>
      <c r="BA17" s="37">
        <v>12.573265651438241</v>
      </c>
      <c r="BB17" s="44">
        <f t="shared" si="21"/>
        <v>9.5640817033414579E+22</v>
      </c>
      <c r="BC17" s="27">
        <f t="shared" si="22"/>
        <v>3032750413.2868652</v>
      </c>
      <c r="BD17" s="27">
        <f t="shared" si="23"/>
        <v>3.0327504132868651E-3</v>
      </c>
      <c r="BE17" s="42">
        <f t="shared" si="31"/>
        <v>3.7909380166085804E-2</v>
      </c>
    </row>
    <row r="18" spans="1:57" x14ac:dyDescent="0.3">
      <c r="A18" s="1"/>
      <c r="B18" s="28">
        <v>6.5</v>
      </c>
      <c r="C18" s="27">
        <v>300</v>
      </c>
      <c r="D18" s="37">
        <f t="shared" si="8"/>
        <v>0.5</v>
      </c>
      <c r="E18" s="43">
        <f>Cp_Rocks!$P$28</f>
        <v>834.61495385054593</v>
      </c>
      <c r="F18" s="44">
        <v>2800000000000</v>
      </c>
      <c r="G18" s="44">
        <f t="shared" si="0"/>
        <v>3.5053828061722931E+17</v>
      </c>
      <c r="H18" s="27">
        <v>22723</v>
      </c>
      <c r="I18" s="44">
        <f t="shared" si="9"/>
        <v>7.9652813504653013E+21</v>
      </c>
      <c r="J18" s="27">
        <v>83.5</v>
      </c>
      <c r="K18" s="44">
        <f t="shared" si="10"/>
        <v>6.6510099276385265E+23</v>
      </c>
      <c r="L18" s="27">
        <f t="shared" si="11"/>
        <v>21090214128.737083</v>
      </c>
      <c r="M18" s="27">
        <f t="shared" si="12"/>
        <v>2.1090214128737083E-2</v>
      </c>
      <c r="N18" s="42">
        <f t="shared" si="29"/>
        <v>0.28471789073795056</v>
      </c>
      <c r="O18" s="1"/>
      <c r="P18" s="28">
        <v>6.5</v>
      </c>
      <c r="Q18" s="27">
        <v>300</v>
      </c>
      <c r="R18" s="37">
        <f t="shared" si="13"/>
        <v>0.5</v>
      </c>
      <c r="S18" s="43">
        <f>Cp_Rocks!$P$28</f>
        <v>834.61495385054593</v>
      </c>
      <c r="T18" s="44">
        <v>3000000000000</v>
      </c>
      <c r="U18" s="44">
        <f t="shared" si="1"/>
        <v>3.7557672923274566E+17</v>
      </c>
      <c r="V18" s="27">
        <v>37416</v>
      </c>
      <c r="W18" s="44">
        <f t="shared" si="2"/>
        <v>1.4052578900972411E+22</v>
      </c>
      <c r="X18" s="27">
        <v>18.600000000000001</v>
      </c>
      <c r="Y18" s="44">
        <f t="shared" si="3"/>
        <v>2.6137796755808686E+23</v>
      </c>
      <c r="Z18" s="27">
        <f t="shared" si="4"/>
        <v>8288240980.4061031</v>
      </c>
      <c r="AA18" s="27">
        <f t="shared" si="5"/>
        <v>8.2882409804061023E-3</v>
      </c>
      <c r="AB18" s="42">
        <f t="shared" si="28"/>
        <v>0.11189125323548241</v>
      </c>
      <c r="AC18" s="1"/>
      <c r="AD18" s="1"/>
      <c r="AE18" s="28">
        <v>6.5</v>
      </c>
      <c r="AF18" s="27">
        <v>300</v>
      </c>
      <c r="AG18" s="37">
        <f t="shared" si="14"/>
        <v>0.5</v>
      </c>
      <c r="AH18" s="43">
        <f>Cp_Rocks!$P$28</f>
        <v>834.61495385054593</v>
      </c>
      <c r="AI18" s="44">
        <v>2800000000000</v>
      </c>
      <c r="AJ18" s="44">
        <f t="shared" si="6"/>
        <v>3.5053828061722931E+17</v>
      </c>
      <c r="AK18" s="27">
        <v>11145</v>
      </c>
      <c r="AL18" s="44">
        <f t="shared" si="15"/>
        <v>3.9067491374790208E+21</v>
      </c>
      <c r="AM18" s="27">
        <v>46.9</v>
      </c>
      <c r="AN18" s="44">
        <f t="shared" si="16"/>
        <v>1.8322653454776606E+23</v>
      </c>
      <c r="AO18" s="27">
        <f t="shared" si="17"/>
        <v>5810075296.4157171</v>
      </c>
      <c r="AP18" s="27">
        <f t="shared" si="18"/>
        <v>5.8100752964157171E-3</v>
      </c>
      <c r="AQ18" s="42">
        <f t="shared" si="30"/>
        <v>7.8436016501612194E-2</v>
      </c>
      <c r="AR18" s="1"/>
      <c r="AS18" s="28">
        <v>6.5</v>
      </c>
      <c r="AT18" s="27">
        <v>300</v>
      </c>
      <c r="AU18" s="37">
        <f t="shared" si="19"/>
        <v>0.5</v>
      </c>
      <c r="AV18" s="43">
        <f>Cp_Rocks!$P$28</f>
        <v>834.61495385054593</v>
      </c>
      <c r="AW18" s="44">
        <v>2800000000000</v>
      </c>
      <c r="AX18" s="44">
        <f t="shared" si="7"/>
        <v>3.5053828061722931E+17</v>
      </c>
      <c r="AY18" s="27">
        <v>21700</v>
      </c>
      <c r="AZ18" s="44">
        <f t="shared" si="20"/>
        <v>7.6066806893938758E+21</v>
      </c>
      <c r="BA18" s="37">
        <v>12.573265651438241</v>
      </c>
      <c r="BB18" s="44">
        <f t="shared" si="21"/>
        <v>9.5640817033414579E+22</v>
      </c>
      <c r="BC18" s="27">
        <f t="shared" si="22"/>
        <v>3032750413.2868652</v>
      </c>
      <c r="BD18" s="27">
        <f t="shared" si="23"/>
        <v>3.0327504132868651E-3</v>
      </c>
      <c r="BE18" s="42">
        <f t="shared" si="31"/>
        <v>4.0942130579372668E-2</v>
      </c>
    </row>
    <row r="19" spans="1:57" x14ac:dyDescent="0.3">
      <c r="A19" s="1"/>
      <c r="B19" s="28">
        <v>7</v>
      </c>
      <c r="C19" s="27">
        <v>300</v>
      </c>
      <c r="D19" s="37">
        <f t="shared" si="8"/>
        <v>0.5</v>
      </c>
      <c r="E19" s="43">
        <f>Cp_Rocks!$P$28</f>
        <v>834.61495385054593</v>
      </c>
      <c r="F19" s="44">
        <v>2800000000000</v>
      </c>
      <c r="G19" s="44">
        <f t="shared" si="0"/>
        <v>3.5053828061722931E+17</v>
      </c>
      <c r="H19" s="27">
        <v>22723</v>
      </c>
      <c r="I19" s="44">
        <f t="shared" si="9"/>
        <v>7.9652813504653013E+21</v>
      </c>
      <c r="J19" s="27">
        <v>83.5</v>
      </c>
      <c r="K19" s="44">
        <f t="shared" si="10"/>
        <v>6.6510099276385265E+23</v>
      </c>
      <c r="L19" s="27">
        <f t="shared" si="11"/>
        <v>21090214128.737083</v>
      </c>
      <c r="M19" s="27">
        <f t="shared" si="12"/>
        <v>2.1090214128737083E-2</v>
      </c>
      <c r="N19" s="42">
        <f t="shared" si="29"/>
        <v>0.30580810486668764</v>
      </c>
      <c r="O19" s="1"/>
      <c r="P19" s="34">
        <v>7</v>
      </c>
      <c r="Q19" s="35">
        <v>300</v>
      </c>
      <c r="R19" s="38">
        <f t="shared" si="13"/>
        <v>0.5</v>
      </c>
      <c r="S19" s="49">
        <f>Cp_Rocks!$P$28</f>
        <v>834.61495385054593</v>
      </c>
      <c r="T19" s="50">
        <v>3000000000000</v>
      </c>
      <c r="U19" s="50">
        <f t="shared" si="1"/>
        <v>3.7557672923274566E+17</v>
      </c>
      <c r="V19" s="35">
        <v>37416</v>
      </c>
      <c r="W19" s="50">
        <f t="shared" si="2"/>
        <v>1.4052578900972411E+22</v>
      </c>
      <c r="X19" s="35">
        <v>18.600000000000001</v>
      </c>
      <c r="Y19" s="50">
        <f t="shared" si="3"/>
        <v>2.6137796755808686E+23</v>
      </c>
      <c r="Z19" s="35">
        <f t="shared" si="4"/>
        <v>8288240980.4061031</v>
      </c>
      <c r="AA19" s="35">
        <f t="shared" si="5"/>
        <v>8.2882409804061023E-3</v>
      </c>
      <c r="AB19" s="51">
        <f t="shared" si="28"/>
        <v>0.12017949421588851</v>
      </c>
      <c r="AC19" s="1"/>
      <c r="AD19" s="1"/>
      <c r="AE19" s="28">
        <v>7</v>
      </c>
      <c r="AF19" s="27">
        <v>300</v>
      </c>
      <c r="AG19" s="37">
        <f t="shared" si="14"/>
        <v>0.5</v>
      </c>
      <c r="AH19" s="43">
        <f>Cp_Rocks!$P$28</f>
        <v>834.61495385054593</v>
      </c>
      <c r="AI19" s="44">
        <v>2800000000000</v>
      </c>
      <c r="AJ19" s="44">
        <f t="shared" si="6"/>
        <v>3.5053828061722931E+17</v>
      </c>
      <c r="AK19" s="27">
        <v>11145</v>
      </c>
      <c r="AL19" s="44">
        <f t="shared" si="15"/>
        <v>3.9067491374790208E+21</v>
      </c>
      <c r="AM19" s="27">
        <v>46.9</v>
      </c>
      <c r="AN19" s="44">
        <f t="shared" si="16"/>
        <v>1.8322653454776606E+23</v>
      </c>
      <c r="AO19" s="27">
        <f t="shared" si="17"/>
        <v>5810075296.4157171</v>
      </c>
      <c r="AP19" s="27">
        <f t="shared" si="18"/>
        <v>5.8100752964157171E-3</v>
      </c>
      <c r="AQ19" s="42">
        <f t="shared" si="30"/>
        <v>8.4246091798027917E-2</v>
      </c>
      <c r="AR19" s="1"/>
      <c r="AS19" s="28">
        <v>7</v>
      </c>
      <c r="AT19" s="27">
        <v>300</v>
      </c>
      <c r="AU19" s="37">
        <f t="shared" si="19"/>
        <v>0.5</v>
      </c>
      <c r="AV19" s="43">
        <f>Cp_Rocks!$P$28</f>
        <v>834.61495385054593</v>
      </c>
      <c r="AW19" s="44">
        <v>2800000000000</v>
      </c>
      <c r="AX19" s="44">
        <f t="shared" si="7"/>
        <v>3.5053828061722931E+17</v>
      </c>
      <c r="AY19" s="27">
        <v>21700</v>
      </c>
      <c r="AZ19" s="44">
        <f t="shared" si="20"/>
        <v>7.6066806893938758E+21</v>
      </c>
      <c r="BA19" s="37">
        <v>12.573265651438241</v>
      </c>
      <c r="BB19" s="44">
        <f t="shared" si="21"/>
        <v>9.5640817033414579E+22</v>
      </c>
      <c r="BC19" s="27">
        <f t="shared" si="22"/>
        <v>3032750413.2868652</v>
      </c>
      <c r="BD19" s="27">
        <f t="shared" si="23"/>
        <v>3.0327504132868651E-3</v>
      </c>
      <c r="BE19" s="42">
        <f t="shared" si="31"/>
        <v>4.3974880992659532E-2</v>
      </c>
    </row>
    <row r="20" spans="1:57" x14ac:dyDescent="0.3">
      <c r="A20" s="1"/>
      <c r="B20" s="28">
        <v>7.5</v>
      </c>
      <c r="C20" s="27">
        <v>300</v>
      </c>
      <c r="D20" s="37">
        <f t="shared" si="8"/>
        <v>0.5</v>
      </c>
      <c r="E20" s="43">
        <f>Cp_Rocks!$P$28</f>
        <v>834.61495385054593</v>
      </c>
      <c r="F20" s="44">
        <v>2800000000000</v>
      </c>
      <c r="G20" s="44">
        <f t="shared" si="0"/>
        <v>3.5053828061722931E+17</v>
      </c>
      <c r="H20" s="27">
        <v>22723</v>
      </c>
      <c r="I20" s="44">
        <f t="shared" si="9"/>
        <v>7.9652813504653013E+21</v>
      </c>
      <c r="J20" s="27">
        <v>83.5</v>
      </c>
      <c r="K20" s="44">
        <f t="shared" si="10"/>
        <v>6.6510099276385265E+23</v>
      </c>
      <c r="L20" s="27">
        <f t="shared" si="11"/>
        <v>21090214128.737083</v>
      </c>
      <c r="M20" s="27">
        <f t="shared" si="12"/>
        <v>2.1090214128737083E-2</v>
      </c>
      <c r="N20" s="42">
        <f t="shared" si="29"/>
        <v>0.32689831899542471</v>
      </c>
      <c r="O20" s="1"/>
      <c r="P20" s="28">
        <v>7.5</v>
      </c>
      <c r="Q20" s="27">
        <v>300</v>
      </c>
      <c r="R20" s="37">
        <f t="shared" si="13"/>
        <v>0.5</v>
      </c>
      <c r="S20" s="43">
        <f>Cp_Rocks!$P$28</f>
        <v>834.61495385054593</v>
      </c>
      <c r="T20" s="44">
        <v>3000000000000</v>
      </c>
      <c r="U20" s="44">
        <f t="shared" si="1"/>
        <v>3.7557672923274566E+17</v>
      </c>
      <c r="V20" s="27">
        <v>37416</v>
      </c>
      <c r="W20" s="44">
        <f t="shared" si="2"/>
        <v>1.4052578900972411E+22</v>
      </c>
      <c r="X20" s="27">
        <v>18.600000000000001</v>
      </c>
      <c r="Y20" s="44">
        <f t="shared" si="3"/>
        <v>2.6137796755808686E+23</v>
      </c>
      <c r="Z20" s="27">
        <f t="shared" si="4"/>
        <v>8288240980.4061031</v>
      </c>
      <c r="AA20" s="27">
        <f t="shared" si="5"/>
        <v>8.2882409804061023E-3</v>
      </c>
      <c r="AB20" s="42">
        <f t="shared" si="28"/>
        <v>0.12846773519629462</v>
      </c>
      <c r="AC20" s="1"/>
      <c r="AD20" s="1"/>
      <c r="AE20" s="28">
        <v>7.5</v>
      </c>
      <c r="AF20" s="27">
        <v>300</v>
      </c>
      <c r="AG20" s="37">
        <f t="shared" si="14"/>
        <v>0.5</v>
      </c>
      <c r="AH20" s="43">
        <f>Cp_Rocks!$P$28</f>
        <v>834.61495385054593</v>
      </c>
      <c r="AI20" s="44">
        <v>2800000000000</v>
      </c>
      <c r="AJ20" s="44">
        <f t="shared" si="6"/>
        <v>3.5053828061722931E+17</v>
      </c>
      <c r="AK20" s="27">
        <v>11145</v>
      </c>
      <c r="AL20" s="44">
        <f t="shared" si="15"/>
        <v>3.9067491374790208E+21</v>
      </c>
      <c r="AM20" s="27">
        <v>46.9</v>
      </c>
      <c r="AN20" s="44">
        <f t="shared" si="16"/>
        <v>1.8322653454776606E+23</v>
      </c>
      <c r="AO20" s="27">
        <f t="shared" si="17"/>
        <v>5810075296.4157171</v>
      </c>
      <c r="AP20" s="27">
        <f t="shared" si="18"/>
        <v>5.8100752964157171E-3</v>
      </c>
      <c r="AQ20" s="42">
        <f t="shared" si="30"/>
        <v>9.005616709444364E-2</v>
      </c>
      <c r="AR20" s="1"/>
      <c r="AS20" s="28">
        <v>7.5</v>
      </c>
      <c r="AT20" s="27">
        <v>300</v>
      </c>
      <c r="AU20" s="37">
        <f t="shared" si="19"/>
        <v>0.5</v>
      </c>
      <c r="AV20" s="43">
        <f>Cp_Rocks!$P$28</f>
        <v>834.61495385054593</v>
      </c>
      <c r="AW20" s="44">
        <v>2800000000000</v>
      </c>
      <c r="AX20" s="44">
        <f t="shared" si="7"/>
        <v>3.5053828061722931E+17</v>
      </c>
      <c r="AY20" s="27">
        <v>21700</v>
      </c>
      <c r="AZ20" s="44">
        <f t="shared" si="20"/>
        <v>7.6066806893938758E+21</v>
      </c>
      <c r="BA20" s="37">
        <v>12.573265651438241</v>
      </c>
      <c r="BB20" s="44">
        <f t="shared" si="21"/>
        <v>9.5640817033414579E+22</v>
      </c>
      <c r="BC20" s="27">
        <f t="shared" si="22"/>
        <v>3032750413.2868652</v>
      </c>
      <c r="BD20" s="27">
        <f t="shared" si="23"/>
        <v>3.0327504132868651E-3</v>
      </c>
      <c r="BE20" s="42">
        <f t="shared" si="31"/>
        <v>4.7007631405946396E-2</v>
      </c>
    </row>
    <row r="21" spans="1:57" x14ac:dyDescent="0.3">
      <c r="A21" s="1"/>
      <c r="B21" s="28">
        <v>8</v>
      </c>
      <c r="C21" s="27">
        <v>300</v>
      </c>
      <c r="D21" s="37">
        <f t="shared" si="8"/>
        <v>0.5</v>
      </c>
      <c r="E21" s="43">
        <f>Cp_Rocks!$P$28</f>
        <v>834.61495385054593</v>
      </c>
      <c r="F21" s="44">
        <v>2800000000000</v>
      </c>
      <c r="G21" s="44">
        <f t="shared" si="0"/>
        <v>3.5053828061722931E+17</v>
      </c>
      <c r="H21" s="27">
        <v>22723</v>
      </c>
      <c r="I21" s="44">
        <f t="shared" si="9"/>
        <v>7.9652813504653013E+21</v>
      </c>
      <c r="J21" s="27">
        <v>83.5</v>
      </c>
      <c r="K21" s="44">
        <f t="shared" si="10"/>
        <v>6.6510099276385265E+23</v>
      </c>
      <c r="L21" s="27">
        <f t="shared" si="11"/>
        <v>21090214128.737083</v>
      </c>
      <c r="M21" s="27">
        <f t="shared" si="12"/>
        <v>2.1090214128737083E-2</v>
      </c>
      <c r="N21" s="42">
        <f t="shared" si="29"/>
        <v>0.34798853312416178</v>
      </c>
      <c r="O21" s="1"/>
      <c r="P21" s="28">
        <v>8</v>
      </c>
      <c r="Q21" s="27">
        <v>300</v>
      </c>
      <c r="R21" s="37">
        <f t="shared" si="13"/>
        <v>0.5</v>
      </c>
      <c r="S21" s="43">
        <f>Cp_Rocks!$P$28</f>
        <v>834.61495385054593</v>
      </c>
      <c r="T21" s="44">
        <v>3000000000000</v>
      </c>
      <c r="U21" s="44">
        <f t="shared" si="1"/>
        <v>3.7557672923274566E+17</v>
      </c>
      <c r="V21" s="27">
        <v>37416</v>
      </c>
      <c r="W21" s="44">
        <f t="shared" si="2"/>
        <v>1.4052578900972411E+22</v>
      </c>
      <c r="X21" s="27">
        <v>18.600000000000001</v>
      </c>
      <c r="Y21" s="44">
        <f t="shared" si="3"/>
        <v>2.6137796755808686E+23</v>
      </c>
      <c r="Z21" s="27">
        <f t="shared" si="4"/>
        <v>8288240980.4061031</v>
      </c>
      <c r="AA21" s="27">
        <f t="shared" si="5"/>
        <v>8.2882409804061023E-3</v>
      </c>
      <c r="AB21" s="42">
        <f t="shared" si="28"/>
        <v>0.13675597617670071</v>
      </c>
      <c r="AC21" s="1"/>
      <c r="AD21" s="1"/>
      <c r="AE21" s="28">
        <v>8</v>
      </c>
      <c r="AF21" s="27">
        <v>300</v>
      </c>
      <c r="AG21" s="37">
        <f t="shared" si="14"/>
        <v>0.5</v>
      </c>
      <c r="AH21" s="43">
        <f>Cp_Rocks!$P$28</f>
        <v>834.61495385054593</v>
      </c>
      <c r="AI21" s="44">
        <v>2800000000000</v>
      </c>
      <c r="AJ21" s="44">
        <f t="shared" si="6"/>
        <v>3.5053828061722931E+17</v>
      </c>
      <c r="AK21" s="27">
        <v>11145</v>
      </c>
      <c r="AL21" s="44">
        <f t="shared" si="15"/>
        <v>3.9067491374790208E+21</v>
      </c>
      <c r="AM21" s="27">
        <v>46.9</v>
      </c>
      <c r="AN21" s="44">
        <f t="shared" si="16"/>
        <v>1.8322653454776606E+23</v>
      </c>
      <c r="AO21" s="27">
        <f t="shared" si="17"/>
        <v>5810075296.4157171</v>
      </c>
      <c r="AP21" s="27">
        <f t="shared" si="18"/>
        <v>5.8100752964157171E-3</v>
      </c>
      <c r="AQ21" s="42">
        <f t="shared" si="30"/>
        <v>9.5866242390859363E-2</v>
      </c>
      <c r="AR21" s="1"/>
      <c r="AS21" s="28">
        <v>8</v>
      </c>
      <c r="AT21" s="27">
        <v>300</v>
      </c>
      <c r="AU21" s="37">
        <f t="shared" si="19"/>
        <v>0.5</v>
      </c>
      <c r="AV21" s="43">
        <f>Cp_Rocks!$P$28</f>
        <v>834.61495385054593</v>
      </c>
      <c r="AW21" s="44">
        <v>2800000000000</v>
      </c>
      <c r="AX21" s="44">
        <f t="shared" si="7"/>
        <v>3.5053828061722931E+17</v>
      </c>
      <c r="AY21" s="27">
        <v>21700</v>
      </c>
      <c r="AZ21" s="44">
        <f t="shared" si="20"/>
        <v>7.6066806893938758E+21</v>
      </c>
      <c r="BA21" s="37">
        <v>12.573265651438241</v>
      </c>
      <c r="BB21" s="44">
        <f t="shared" si="21"/>
        <v>9.5640817033414579E+22</v>
      </c>
      <c r="BC21" s="27">
        <f t="shared" si="22"/>
        <v>3032750413.2868652</v>
      </c>
      <c r="BD21" s="27">
        <f t="shared" si="23"/>
        <v>3.0327504132868651E-3</v>
      </c>
      <c r="BE21" s="42">
        <f t="shared" si="31"/>
        <v>5.0040381819233259E-2</v>
      </c>
    </row>
    <row r="22" spans="1:57" x14ac:dyDescent="0.3">
      <c r="A22" s="1"/>
      <c r="B22" s="28">
        <v>8.5</v>
      </c>
      <c r="C22" s="27">
        <v>300</v>
      </c>
      <c r="D22" s="37">
        <f t="shared" si="8"/>
        <v>0.5</v>
      </c>
      <c r="E22" s="43">
        <f>Cp_Rocks!$P$28</f>
        <v>834.61495385054593</v>
      </c>
      <c r="F22" s="44">
        <v>2800000000000</v>
      </c>
      <c r="G22" s="44">
        <f t="shared" si="0"/>
        <v>3.5053828061722931E+17</v>
      </c>
      <c r="H22" s="27">
        <v>22723</v>
      </c>
      <c r="I22" s="44">
        <f t="shared" si="9"/>
        <v>7.9652813504653013E+21</v>
      </c>
      <c r="J22" s="27">
        <v>83.5</v>
      </c>
      <c r="K22" s="44">
        <f t="shared" si="10"/>
        <v>6.6510099276385265E+23</v>
      </c>
      <c r="L22" s="27">
        <f t="shared" si="11"/>
        <v>21090214128.737083</v>
      </c>
      <c r="M22" s="27">
        <f t="shared" si="12"/>
        <v>2.1090214128737083E-2</v>
      </c>
      <c r="N22" s="42">
        <f t="shared" si="29"/>
        <v>0.36907874725289885</v>
      </c>
      <c r="O22" s="1"/>
      <c r="P22" s="83">
        <v>8.5</v>
      </c>
      <c r="Q22" s="84">
        <v>300</v>
      </c>
      <c r="R22" s="85">
        <f t="shared" si="13"/>
        <v>0.5</v>
      </c>
      <c r="S22" s="86">
        <f>Cp_Rocks!$P$28</f>
        <v>834.61495385054593</v>
      </c>
      <c r="T22" s="87">
        <v>3000000000000</v>
      </c>
      <c r="U22" s="87">
        <f t="shared" si="1"/>
        <v>3.7557672923274566E+17</v>
      </c>
      <c r="V22" s="84">
        <v>37416</v>
      </c>
      <c r="W22" s="87">
        <f t="shared" si="2"/>
        <v>1.4052578900972411E+22</v>
      </c>
      <c r="X22" s="84">
        <v>18.600000000000001</v>
      </c>
      <c r="Y22" s="87">
        <f t="shared" si="3"/>
        <v>2.6137796755808686E+23</v>
      </c>
      <c r="Z22" s="84">
        <f t="shared" si="4"/>
        <v>8288240980.4061031</v>
      </c>
      <c r="AA22" s="84">
        <f t="shared" si="5"/>
        <v>8.2882409804061023E-3</v>
      </c>
      <c r="AB22" s="88">
        <f t="shared" si="28"/>
        <v>0.1450442171571068</v>
      </c>
      <c r="AC22" s="1"/>
      <c r="AD22" s="1"/>
      <c r="AE22" s="28">
        <v>8.5</v>
      </c>
      <c r="AF22" s="27">
        <v>300</v>
      </c>
      <c r="AG22" s="37">
        <f t="shared" si="14"/>
        <v>0.5</v>
      </c>
      <c r="AH22" s="43">
        <f>Cp_Rocks!$P$28</f>
        <v>834.61495385054593</v>
      </c>
      <c r="AI22" s="44">
        <v>2800000000000</v>
      </c>
      <c r="AJ22" s="44">
        <f t="shared" si="6"/>
        <v>3.5053828061722931E+17</v>
      </c>
      <c r="AK22" s="27">
        <v>11145</v>
      </c>
      <c r="AL22" s="44">
        <f t="shared" si="15"/>
        <v>3.9067491374790208E+21</v>
      </c>
      <c r="AM22" s="27">
        <v>46.9</v>
      </c>
      <c r="AN22" s="44">
        <f t="shared" si="16"/>
        <v>1.8322653454776606E+23</v>
      </c>
      <c r="AO22" s="27">
        <f t="shared" si="17"/>
        <v>5810075296.4157171</v>
      </c>
      <c r="AP22" s="27">
        <f t="shared" si="18"/>
        <v>5.8100752964157171E-3</v>
      </c>
      <c r="AQ22" s="42">
        <f t="shared" si="30"/>
        <v>0.10167631768727509</v>
      </c>
      <c r="AR22" s="1"/>
      <c r="AS22" s="28">
        <v>8.5</v>
      </c>
      <c r="AT22" s="27">
        <v>300</v>
      </c>
      <c r="AU22" s="37">
        <f t="shared" si="19"/>
        <v>0.5</v>
      </c>
      <c r="AV22" s="43">
        <f>Cp_Rocks!$P$28</f>
        <v>834.61495385054593</v>
      </c>
      <c r="AW22" s="44">
        <v>2800000000000</v>
      </c>
      <c r="AX22" s="44">
        <f t="shared" si="7"/>
        <v>3.5053828061722931E+17</v>
      </c>
      <c r="AY22" s="27">
        <v>21700</v>
      </c>
      <c r="AZ22" s="44">
        <f t="shared" si="20"/>
        <v>7.6066806893938758E+21</v>
      </c>
      <c r="BA22" s="37">
        <v>12.573265651438241</v>
      </c>
      <c r="BB22" s="44">
        <f t="shared" si="21"/>
        <v>9.5640817033414579E+22</v>
      </c>
      <c r="BC22" s="27">
        <f t="shared" si="22"/>
        <v>3032750413.2868652</v>
      </c>
      <c r="BD22" s="27">
        <f t="shared" si="23"/>
        <v>3.0327504132868651E-3</v>
      </c>
      <c r="BE22" s="42">
        <f t="shared" si="31"/>
        <v>5.3073132232520123E-2</v>
      </c>
    </row>
    <row r="23" spans="1:57" x14ac:dyDescent="0.3">
      <c r="A23" s="1"/>
      <c r="B23" s="28">
        <v>9</v>
      </c>
      <c r="C23" s="27">
        <v>300</v>
      </c>
      <c r="D23" s="37">
        <f t="shared" si="8"/>
        <v>0.5</v>
      </c>
      <c r="E23" s="43">
        <f>Cp_Rocks!$P$28</f>
        <v>834.61495385054593</v>
      </c>
      <c r="F23" s="44">
        <v>2800000000000</v>
      </c>
      <c r="G23" s="44">
        <f t="shared" si="0"/>
        <v>3.5053828061722931E+17</v>
      </c>
      <c r="H23" s="27">
        <v>22723</v>
      </c>
      <c r="I23" s="44">
        <f t="shared" si="9"/>
        <v>7.9652813504653013E+21</v>
      </c>
      <c r="J23" s="27">
        <v>83.5</v>
      </c>
      <c r="K23" s="44">
        <f t="shared" si="10"/>
        <v>6.6510099276385265E+23</v>
      </c>
      <c r="L23" s="27">
        <f t="shared" si="11"/>
        <v>21090214128.737083</v>
      </c>
      <c r="M23" s="27">
        <f t="shared" si="12"/>
        <v>2.1090214128737083E-2</v>
      </c>
      <c r="N23" s="42">
        <f t="shared" si="29"/>
        <v>0.39016896138163593</v>
      </c>
      <c r="O23" s="1"/>
      <c r="P23" s="83">
        <v>9</v>
      </c>
      <c r="Q23" s="84">
        <v>300</v>
      </c>
      <c r="R23" s="85">
        <f t="shared" si="13"/>
        <v>0.5</v>
      </c>
      <c r="S23" s="86">
        <f>Cp_Rocks!$P$28</f>
        <v>834.61495385054593</v>
      </c>
      <c r="T23" s="87">
        <v>3000000000000</v>
      </c>
      <c r="U23" s="87">
        <f t="shared" si="1"/>
        <v>3.7557672923274566E+17</v>
      </c>
      <c r="V23" s="84">
        <v>37416</v>
      </c>
      <c r="W23" s="87">
        <f t="shared" si="2"/>
        <v>1.4052578900972411E+22</v>
      </c>
      <c r="X23" s="84">
        <v>18.600000000000001</v>
      </c>
      <c r="Y23" s="87">
        <f t="shared" si="3"/>
        <v>2.6137796755808686E+23</v>
      </c>
      <c r="Z23" s="84">
        <f t="shared" si="4"/>
        <v>8288240980.4061031</v>
      </c>
      <c r="AA23" s="84">
        <f t="shared" si="5"/>
        <v>8.2882409804061023E-3</v>
      </c>
      <c r="AB23" s="88">
        <f t="shared" si="28"/>
        <v>0.15333245813751289</v>
      </c>
      <c r="AC23" s="1"/>
      <c r="AD23" s="1"/>
      <c r="AE23" s="28">
        <v>9</v>
      </c>
      <c r="AF23" s="27">
        <v>300</v>
      </c>
      <c r="AG23" s="37">
        <f t="shared" si="14"/>
        <v>0.5</v>
      </c>
      <c r="AH23" s="43">
        <f>Cp_Rocks!$P$28</f>
        <v>834.61495385054593</v>
      </c>
      <c r="AI23" s="44">
        <v>2800000000000</v>
      </c>
      <c r="AJ23" s="44">
        <f t="shared" si="6"/>
        <v>3.5053828061722931E+17</v>
      </c>
      <c r="AK23" s="27">
        <v>11145</v>
      </c>
      <c r="AL23" s="44">
        <f t="shared" si="15"/>
        <v>3.9067491374790208E+21</v>
      </c>
      <c r="AM23" s="27">
        <v>46.9</v>
      </c>
      <c r="AN23" s="44">
        <f t="shared" si="16"/>
        <v>1.8322653454776606E+23</v>
      </c>
      <c r="AO23" s="27">
        <f t="shared" si="17"/>
        <v>5810075296.4157171</v>
      </c>
      <c r="AP23" s="27">
        <f t="shared" si="18"/>
        <v>5.8100752964157171E-3</v>
      </c>
      <c r="AQ23" s="42">
        <f t="shared" si="30"/>
        <v>0.10748639298369081</v>
      </c>
      <c r="AR23" s="1"/>
      <c r="AS23" s="28">
        <v>9</v>
      </c>
      <c r="AT23" s="27">
        <v>300</v>
      </c>
      <c r="AU23" s="37">
        <f t="shared" si="19"/>
        <v>0.5</v>
      </c>
      <c r="AV23" s="43">
        <f>Cp_Rocks!$P$28</f>
        <v>834.61495385054593</v>
      </c>
      <c r="AW23" s="44">
        <v>2800000000000</v>
      </c>
      <c r="AX23" s="44">
        <f t="shared" si="7"/>
        <v>3.5053828061722931E+17</v>
      </c>
      <c r="AY23" s="27">
        <v>21700</v>
      </c>
      <c r="AZ23" s="44">
        <f t="shared" si="20"/>
        <v>7.6066806893938758E+21</v>
      </c>
      <c r="BA23" s="37">
        <v>12.573265651438241</v>
      </c>
      <c r="BB23" s="44">
        <f t="shared" si="21"/>
        <v>9.5640817033414579E+22</v>
      </c>
      <c r="BC23" s="27">
        <f t="shared" si="22"/>
        <v>3032750413.2868652</v>
      </c>
      <c r="BD23" s="27">
        <f t="shared" si="23"/>
        <v>3.0327504132868651E-3</v>
      </c>
      <c r="BE23" s="42">
        <f t="shared" si="31"/>
        <v>5.6105882645806987E-2</v>
      </c>
    </row>
    <row r="24" spans="1:57" x14ac:dyDescent="0.3">
      <c r="A24" s="1"/>
      <c r="B24" s="28">
        <v>9.5</v>
      </c>
      <c r="C24" s="27">
        <v>300</v>
      </c>
      <c r="D24" s="37">
        <f t="shared" si="8"/>
        <v>0.5</v>
      </c>
      <c r="E24" s="43">
        <f>Cp_Rocks!$P$28</f>
        <v>834.61495385054593</v>
      </c>
      <c r="F24" s="44">
        <v>2800000000000</v>
      </c>
      <c r="G24" s="44">
        <f t="shared" si="0"/>
        <v>3.5053828061722931E+17</v>
      </c>
      <c r="H24" s="27">
        <v>22723</v>
      </c>
      <c r="I24" s="44">
        <f t="shared" si="9"/>
        <v>7.9652813504653013E+21</v>
      </c>
      <c r="J24" s="27">
        <v>83.5</v>
      </c>
      <c r="K24" s="44">
        <f t="shared" si="10"/>
        <v>6.6510099276385265E+23</v>
      </c>
      <c r="L24" s="27">
        <f t="shared" si="11"/>
        <v>21090214128.737083</v>
      </c>
      <c r="M24" s="27">
        <f t="shared" si="12"/>
        <v>2.1090214128737083E-2</v>
      </c>
      <c r="N24" s="42">
        <f t="shared" si="29"/>
        <v>0.411259175510373</v>
      </c>
      <c r="O24" s="1"/>
      <c r="P24" s="28">
        <v>9.5</v>
      </c>
      <c r="Q24" s="27">
        <v>300</v>
      </c>
      <c r="R24" s="37">
        <f t="shared" si="13"/>
        <v>0.5</v>
      </c>
      <c r="S24" s="43">
        <f>Cp_Rocks!$P$28</f>
        <v>834.61495385054593</v>
      </c>
      <c r="T24" s="44">
        <v>3000000000000</v>
      </c>
      <c r="U24" s="44">
        <f t="shared" si="1"/>
        <v>3.7557672923274566E+17</v>
      </c>
      <c r="V24" s="27">
        <v>37416</v>
      </c>
      <c r="W24" s="44">
        <f t="shared" si="2"/>
        <v>1.4052578900972411E+22</v>
      </c>
      <c r="X24" s="27">
        <v>18.600000000000001</v>
      </c>
      <c r="Y24" s="44">
        <f t="shared" si="3"/>
        <v>2.6137796755808686E+23</v>
      </c>
      <c r="Z24" s="27">
        <f t="shared" si="4"/>
        <v>8288240980.4061031</v>
      </c>
      <c r="AA24" s="27">
        <f t="shared" si="5"/>
        <v>8.2882409804061023E-3</v>
      </c>
      <c r="AB24" s="42">
        <f t="shared" si="28"/>
        <v>0.16162069911791899</v>
      </c>
      <c r="AC24" s="1"/>
      <c r="AD24" s="1"/>
      <c r="AE24" s="28">
        <v>9.5</v>
      </c>
      <c r="AF24" s="27">
        <v>300</v>
      </c>
      <c r="AG24" s="37">
        <f t="shared" si="14"/>
        <v>0.5</v>
      </c>
      <c r="AH24" s="43">
        <f>Cp_Rocks!$P$28</f>
        <v>834.61495385054593</v>
      </c>
      <c r="AI24" s="44">
        <v>2800000000000</v>
      </c>
      <c r="AJ24" s="44">
        <f t="shared" si="6"/>
        <v>3.5053828061722931E+17</v>
      </c>
      <c r="AK24" s="27">
        <v>11145</v>
      </c>
      <c r="AL24" s="44">
        <f t="shared" si="15"/>
        <v>3.9067491374790208E+21</v>
      </c>
      <c r="AM24" s="27">
        <v>46.9</v>
      </c>
      <c r="AN24" s="44">
        <f t="shared" si="16"/>
        <v>1.8322653454776606E+23</v>
      </c>
      <c r="AO24" s="27">
        <f t="shared" si="17"/>
        <v>5810075296.4157171</v>
      </c>
      <c r="AP24" s="27">
        <f t="shared" si="18"/>
        <v>5.8100752964157171E-3</v>
      </c>
      <c r="AQ24" s="42">
        <f t="shared" si="30"/>
        <v>0.11329646828010653</v>
      </c>
      <c r="AR24" s="1"/>
      <c r="AS24" s="28">
        <v>9.5</v>
      </c>
      <c r="AT24" s="27">
        <v>300</v>
      </c>
      <c r="AU24" s="37">
        <f t="shared" si="19"/>
        <v>0.5</v>
      </c>
      <c r="AV24" s="43">
        <f>Cp_Rocks!$P$28</f>
        <v>834.61495385054593</v>
      </c>
      <c r="AW24" s="44">
        <v>2800000000000</v>
      </c>
      <c r="AX24" s="44">
        <f t="shared" si="7"/>
        <v>3.5053828061722931E+17</v>
      </c>
      <c r="AY24" s="27">
        <v>21700</v>
      </c>
      <c r="AZ24" s="44">
        <f t="shared" si="20"/>
        <v>7.6066806893938758E+21</v>
      </c>
      <c r="BA24" s="37">
        <v>12.573265651438241</v>
      </c>
      <c r="BB24" s="44">
        <f t="shared" si="21"/>
        <v>9.5640817033414579E+22</v>
      </c>
      <c r="BC24" s="27">
        <f t="shared" si="22"/>
        <v>3032750413.2868652</v>
      </c>
      <c r="BD24" s="27">
        <f t="shared" si="23"/>
        <v>3.0327504132868651E-3</v>
      </c>
      <c r="BE24" s="42">
        <f t="shared" si="31"/>
        <v>5.9138633059093851E-2</v>
      </c>
    </row>
    <row r="25" spans="1:57" x14ac:dyDescent="0.3">
      <c r="A25" s="1"/>
      <c r="B25" s="28">
        <v>10</v>
      </c>
      <c r="C25" s="27">
        <v>300</v>
      </c>
      <c r="D25" s="37">
        <f t="shared" si="8"/>
        <v>0.5</v>
      </c>
      <c r="E25" s="43">
        <f>Cp_Rocks!$P$28</f>
        <v>834.61495385054593</v>
      </c>
      <c r="F25" s="44">
        <v>2800000000000</v>
      </c>
      <c r="G25" s="44">
        <f t="shared" si="0"/>
        <v>3.5053828061722931E+17</v>
      </c>
      <c r="H25" s="27">
        <v>22723</v>
      </c>
      <c r="I25" s="44">
        <f t="shared" si="9"/>
        <v>7.9652813504653013E+21</v>
      </c>
      <c r="J25" s="27">
        <v>83.5</v>
      </c>
      <c r="K25" s="44">
        <f t="shared" si="10"/>
        <v>6.6510099276385265E+23</v>
      </c>
      <c r="L25" s="27">
        <f t="shared" si="11"/>
        <v>21090214128.737083</v>
      </c>
      <c r="M25" s="27">
        <f t="shared" si="12"/>
        <v>2.1090214128737083E-2</v>
      </c>
      <c r="N25" s="42">
        <f t="shared" si="29"/>
        <v>0.43234938963911007</v>
      </c>
      <c r="O25" s="1"/>
      <c r="P25" s="28">
        <v>10</v>
      </c>
      <c r="Q25" s="27">
        <v>300</v>
      </c>
      <c r="R25" s="37">
        <f t="shared" si="13"/>
        <v>0.5</v>
      </c>
      <c r="S25" s="43">
        <f>Cp_Rocks!$P$28</f>
        <v>834.61495385054593</v>
      </c>
      <c r="T25" s="44">
        <v>3000000000000</v>
      </c>
      <c r="U25" s="44">
        <f t="shared" si="1"/>
        <v>3.7557672923274566E+17</v>
      </c>
      <c r="V25" s="27">
        <v>37416</v>
      </c>
      <c r="W25" s="44">
        <f t="shared" si="2"/>
        <v>1.4052578900972411E+22</v>
      </c>
      <c r="X25" s="27">
        <v>18.600000000000001</v>
      </c>
      <c r="Y25" s="44">
        <f t="shared" si="3"/>
        <v>2.6137796755808686E+23</v>
      </c>
      <c r="Z25" s="27">
        <f t="shared" si="4"/>
        <v>8288240980.4061031</v>
      </c>
      <c r="AA25" s="27">
        <f t="shared" si="5"/>
        <v>8.2882409804061023E-3</v>
      </c>
      <c r="AB25" s="42">
        <f t="shared" si="28"/>
        <v>0.16990894009832508</v>
      </c>
      <c r="AC25" s="1"/>
      <c r="AD25" s="1"/>
      <c r="AE25" s="28">
        <v>10</v>
      </c>
      <c r="AF25" s="27">
        <v>300</v>
      </c>
      <c r="AG25" s="37">
        <f t="shared" si="14"/>
        <v>0.5</v>
      </c>
      <c r="AH25" s="43">
        <f>Cp_Rocks!$P$28</f>
        <v>834.61495385054593</v>
      </c>
      <c r="AI25" s="44">
        <v>2800000000000</v>
      </c>
      <c r="AJ25" s="44">
        <f t="shared" si="6"/>
        <v>3.5053828061722931E+17</v>
      </c>
      <c r="AK25" s="27">
        <v>11145</v>
      </c>
      <c r="AL25" s="44">
        <f t="shared" si="15"/>
        <v>3.9067491374790208E+21</v>
      </c>
      <c r="AM25" s="27">
        <v>46.9</v>
      </c>
      <c r="AN25" s="44">
        <f t="shared" si="16"/>
        <v>1.8322653454776606E+23</v>
      </c>
      <c r="AO25" s="27">
        <f t="shared" si="17"/>
        <v>5810075296.4157171</v>
      </c>
      <c r="AP25" s="27">
        <f t="shared" si="18"/>
        <v>5.8100752964157171E-3</v>
      </c>
      <c r="AQ25" s="42">
        <f t="shared" si="30"/>
        <v>0.11910654357652226</v>
      </c>
      <c r="AR25" s="1"/>
      <c r="AS25" s="28">
        <v>10</v>
      </c>
      <c r="AT25" s="27">
        <v>300</v>
      </c>
      <c r="AU25" s="37">
        <f t="shared" si="19"/>
        <v>0.5</v>
      </c>
      <c r="AV25" s="43">
        <f>Cp_Rocks!$P$28</f>
        <v>834.61495385054593</v>
      </c>
      <c r="AW25" s="44">
        <v>2800000000000</v>
      </c>
      <c r="AX25" s="44">
        <f t="shared" si="7"/>
        <v>3.5053828061722931E+17</v>
      </c>
      <c r="AY25" s="27">
        <v>21700</v>
      </c>
      <c r="AZ25" s="44">
        <f t="shared" si="20"/>
        <v>7.6066806893938758E+21</v>
      </c>
      <c r="BA25" s="37">
        <v>12.573265651438241</v>
      </c>
      <c r="BB25" s="44">
        <f t="shared" si="21"/>
        <v>9.5640817033414579E+22</v>
      </c>
      <c r="BC25" s="27">
        <f t="shared" si="22"/>
        <v>3032750413.2868652</v>
      </c>
      <c r="BD25" s="27">
        <f t="shared" si="23"/>
        <v>3.0327504132868651E-3</v>
      </c>
      <c r="BE25" s="42">
        <f t="shared" si="31"/>
        <v>6.2171383472380715E-2</v>
      </c>
    </row>
    <row r="26" spans="1:57" x14ac:dyDescent="0.3">
      <c r="A26" s="1"/>
      <c r="B26" s="28">
        <v>10.5</v>
      </c>
      <c r="C26" s="27">
        <v>300</v>
      </c>
      <c r="D26" s="37">
        <f t="shared" si="8"/>
        <v>0.5</v>
      </c>
      <c r="E26" s="43">
        <f>Cp_Rocks!$P$28</f>
        <v>834.61495385054593</v>
      </c>
      <c r="F26" s="44">
        <v>2800000000000</v>
      </c>
      <c r="G26" s="44">
        <f t="shared" si="0"/>
        <v>3.5053828061722931E+17</v>
      </c>
      <c r="H26" s="27">
        <v>22723</v>
      </c>
      <c r="I26" s="44">
        <f t="shared" si="9"/>
        <v>7.9652813504653013E+21</v>
      </c>
      <c r="J26" s="27">
        <v>83.5</v>
      </c>
      <c r="K26" s="44">
        <f t="shared" si="10"/>
        <v>6.6510099276385265E+23</v>
      </c>
      <c r="L26" s="27">
        <f t="shared" si="11"/>
        <v>21090214128.737083</v>
      </c>
      <c r="M26" s="27">
        <f t="shared" si="12"/>
        <v>2.1090214128737083E-2</v>
      </c>
      <c r="N26" s="42">
        <f t="shared" si="29"/>
        <v>0.45343960376784714</v>
      </c>
      <c r="O26" s="1"/>
      <c r="P26" s="28">
        <v>10.5</v>
      </c>
      <c r="Q26" s="27">
        <v>300</v>
      </c>
      <c r="R26" s="37">
        <f t="shared" si="13"/>
        <v>0.5</v>
      </c>
      <c r="S26" s="43">
        <f>Cp_Rocks!$P$28</f>
        <v>834.61495385054593</v>
      </c>
      <c r="T26" s="44">
        <v>3000000000000</v>
      </c>
      <c r="U26" s="44">
        <f t="shared" si="1"/>
        <v>3.7557672923274566E+17</v>
      </c>
      <c r="V26" s="27">
        <v>37416</v>
      </c>
      <c r="W26" s="44">
        <f t="shared" si="2"/>
        <v>1.4052578900972411E+22</v>
      </c>
      <c r="X26" s="27">
        <v>18.600000000000001</v>
      </c>
      <c r="Y26" s="44">
        <f t="shared" si="3"/>
        <v>2.6137796755808686E+23</v>
      </c>
      <c r="Z26" s="27">
        <f t="shared" si="4"/>
        <v>8288240980.4061031</v>
      </c>
      <c r="AA26" s="27">
        <f t="shared" si="5"/>
        <v>8.2882409804061023E-3</v>
      </c>
      <c r="AB26" s="42">
        <f t="shared" si="28"/>
        <v>0.17819718107873117</v>
      </c>
      <c r="AC26" s="1"/>
      <c r="AD26" s="1"/>
      <c r="AE26" s="28">
        <v>10.5</v>
      </c>
      <c r="AF26" s="27">
        <v>300</v>
      </c>
      <c r="AG26" s="37">
        <f t="shared" si="14"/>
        <v>0.5</v>
      </c>
      <c r="AH26" s="43">
        <f>Cp_Rocks!$P$28</f>
        <v>834.61495385054593</v>
      </c>
      <c r="AI26" s="44">
        <v>2800000000000</v>
      </c>
      <c r="AJ26" s="44">
        <f t="shared" si="6"/>
        <v>3.5053828061722931E+17</v>
      </c>
      <c r="AK26" s="27">
        <v>11145</v>
      </c>
      <c r="AL26" s="44">
        <f t="shared" si="15"/>
        <v>3.9067491374790208E+21</v>
      </c>
      <c r="AM26" s="27">
        <v>46.9</v>
      </c>
      <c r="AN26" s="44">
        <f t="shared" si="16"/>
        <v>1.8322653454776606E+23</v>
      </c>
      <c r="AO26" s="27">
        <f t="shared" si="17"/>
        <v>5810075296.4157171</v>
      </c>
      <c r="AP26" s="27">
        <f t="shared" si="18"/>
        <v>5.8100752964157171E-3</v>
      </c>
      <c r="AQ26" s="42">
        <f t="shared" si="30"/>
        <v>0.12491661887293798</v>
      </c>
      <c r="AR26" s="1"/>
      <c r="AS26" s="28">
        <v>10.5</v>
      </c>
      <c r="AT26" s="27">
        <v>300</v>
      </c>
      <c r="AU26" s="37">
        <f t="shared" si="19"/>
        <v>0.5</v>
      </c>
      <c r="AV26" s="43">
        <f>Cp_Rocks!$P$28</f>
        <v>834.61495385054593</v>
      </c>
      <c r="AW26" s="44">
        <v>2800000000000</v>
      </c>
      <c r="AX26" s="44">
        <f t="shared" si="7"/>
        <v>3.5053828061722931E+17</v>
      </c>
      <c r="AY26" s="27">
        <v>21700</v>
      </c>
      <c r="AZ26" s="44">
        <f t="shared" si="20"/>
        <v>7.6066806893938758E+21</v>
      </c>
      <c r="BA26" s="37">
        <v>12.573265651438241</v>
      </c>
      <c r="BB26" s="44">
        <f t="shared" si="21"/>
        <v>9.5640817033414579E+22</v>
      </c>
      <c r="BC26" s="27">
        <f t="shared" si="22"/>
        <v>3032750413.2868652</v>
      </c>
      <c r="BD26" s="27">
        <f t="shared" si="23"/>
        <v>3.0327504132868651E-3</v>
      </c>
      <c r="BE26" s="42">
        <f t="shared" si="31"/>
        <v>6.5204133885667578E-2</v>
      </c>
    </row>
    <row r="27" spans="1:57" x14ac:dyDescent="0.3">
      <c r="A27" s="1"/>
      <c r="B27" s="28">
        <v>11</v>
      </c>
      <c r="C27" s="27">
        <v>300</v>
      </c>
      <c r="D27" s="37">
        <f t="shared" si="8"/>
        <v>0.5</v>
      </c>
      <c r="E27" s="43">
        <f>Cp_Rocks!$P$28</f>
        <v>834.61495385054593</v>
      </c>
      <c r="F27" s="44">
        <v>2800000000000</v>
      </c>
      <c r="G27" s="44">
        <f t="shared" si="0"/>
        <v>3.5053828061722931E+17</v>
      </c>
      <c r="H27" s="27">
        <v>22723</v>
      </c>
      <c r="I27" s="44">
        <f t="shared" si="9"/>
        <v>7.9652813504653013E+21</v>
      </c>
      <c r="J27" s="27">
        <v>83.5</v>
      </c>
      <c r="K27" s="44">
        <f t="shared" si="10"/>
        <v>6.6510099276385265E+23</v>
      </c>
      <c r="L27" s="27">
        <f t="shared" si="11"/>
        <v>21090214128.737083</v>
      </c>
      <c r="M27" s="27">
        <f t="shared" si="12"/>
        <v>2.1090214128737083E-2</v>
      </c>
      <c r="N27" s="42">
        <f t="shared" si="29"/>
        <v>0.47452981789658422</v>
      </c>
      <c r="O27" s="1"/>
      <c r="P27" s="28">
        <v>11</v>
      </c>
      <c r="Q27" s="27">
        <v>300</v>
      </c>
      <c r="R27" s="37">
        <f t="shared" si="13"/>
        <v>0.5</v>
      </c>
      <c r="S27" s="43">
        <f>Cp_Rocks!$P$28</f>
        <v>834.61495385054593</v>
      </c>
      <c r="T27" s="44">
        <v>3000000000000</v>
      </c>
      <c r="U27" s="44">
        <f t="shared" si="1"/>
        <v>3.7557672923274566E+17</v>
      </c>
      <c r="V27" s="27">
        <v>37416</v>
      </c>
      <c r="W27" s="44">
        <f t="shared" si="2"/>
        <v>1.4052578900972411E+22</v>
      </c>
      <c r="X27" s="27">
        <v>18.600000000000001</v>
      </c>
      <c r="Y27" s="44">
        <f t="shared" si="3"/>
        <v>2.6137796755808686E+23</v>
      </c>
      <c r="Z27" s="27">
        <f t="shared" si="4"/>
        <v>8288240980.4061031</v>
      </c>
      <c r="AA27" s="27">
        <f t="shared" si="5"/>
        <v>8.2882409804061023E-3</v>
      </c>
      <c r="AB27" s="42">
        <f t="shared" si="28"/>
        <v>0.18648542205913726</v>
      </c>
      <c r="AC27" s="1"/>
      <c r="AD27" s="1"/>
      <c r="AE27" s="28">
        <v>11</v>
      </c>
      <c r="AF27" s="27">
        <v>300</v>
      </c>
      <c r="AG27" s="37">
        <f t="shared" si="14"/>
        <v>0.5</v>
      </c>
      <c r="AH27" s="43">
        <f>Cp_Rocks!$P$28</f>
        <v>834.61495385054593</v>
      </c>
      <c r="AI27" s="44">
        <v>2800000000000</v>
      </c>
      <c r="AJ27" s="44">
        <f t="shared" si="6"/>
        <v>3.5053828061722931E+17</v>
      </c>
      <c r="AK27" s="27">
        <v>11145</v>
      </c>
      <c r="AL27" s="44">
        <f t="shared" si="15"/>
        <v>3.9067491374790208E+21</v>
      </c>
      <c r="AM27" s="27">
        <v>46.9</v>
      </c>
      <c r="AN27" s="44">
        <f t="shared" si="16"/>
        <v>1.8322653454776606E+23</v>
      </c>
      <c r="AO27" s="27">
        <f t="shared" si="17"/>
        <v>5810075296.4157171</v>
      </c>
      <c r="AP27" s="27">
        <f t="shared" si="18"/>
        <v>5.8100752964157171E-3</v>
      </c>
      <c r="AQ27" s="42">
        <f t="shared" si="30"/>
        <v>0.1307266941693537</v>
      </c>
      <c r="AR27" s="1"/>
      <c r="AS27" s="28">
        <v>11</v>
      </c>
      <c r="AT27" s="27">
        <v>300</v>
      </c>
      <c r="AU27" s="37">
        <f t="shared" si="19"/>
        <v>0.5</v>
      </c>
      <c r="AV27" s="43">
        <f>Cp_Rocks!$P$28</f>
        <v>834.61495385054593</v>
      </c>
      <c r="AW27" s="44">
        <v>2800000000000</v>
      </c>
      <c r="AX27" s="44">
        <f t="shared" si="7"/>
        <v>3.5053828061722931E+17</v>
      </c>
      <c r="AY27" s="27">
        <v>21700</v>
      </c>
      <c r="AZ27" s="44">
        <f t="shared" si="20"/>
        <v>7.6066806893938758E+21</v>
      </c>
      <c r="BA27" s="37">
        <v>12.573265651438241</v>
      </c>
      <c r="BB27" s="44">
        <f t="shared" si="21"/>
        <v>9.5640817033414579E+22</v>
      </c>
      <c r="BC27" s="27">
        <f t="shared" si="22"/>
        <v>3032750413.2868652</v>
      </c>
      <c r="BD27" s="27">
        <f t="shared" si="23"/>
        <v>3.0327504132868651E-3</v>
      </c>
      <c r="BE27" s="42">
        <f t="shared" si="31"/>
        <v>6.8236884298954442E-2</v>
      </c>
    </row>
    <row r="28" spans="1:57" x14ac:dyDescent="0.3">
      <c r="A28" s="1"/>
      <c r="B28" s="28">
        <v>11.5</v>
      </c>
      <c r="C28" s="27">
        <v>300</v>
      </c>
      <c r="D28" s="37">
        <f t="shared" si="8"/>
        <v>0.5</v>
      </c>
      <c r="E28" s="43">
        <f>Cp_Rocks!$P$28</f>
        <v>834.61495385054593</v>
      </c>
      <c r="F28" s="44">
        <v>2800000000000</v>
      </c>
      <c r="G28" s="44">
        <f t="shared" si="0"/>
        <v>3.5053828061722931E+17</v>
      </c>
      <c r="H28" s="27">
        <v>22723</v>
      </c>
      <c r="I28" s="44">
        <f t="shared" si="9"/>
        <v>7.9652813504653013E+21</v>
      </c>
      <c r="J28" s="27">
        <v>83.5</v>
      </c>
      <c r="K28" s="44">
        <f t="shared" si="10"/>
        <v>6.6510099276385265E+23</v>
      </c>
      <c r="L28" s="27">
        <f t="shared" si="11"/>
        <v>21090214128.737083</v>
      </c>
      <c r="M28" s="27">
        <f t="shared" si="12"/>
        <v>2.1090214128737083E-2</v>
      </c>
      <c r="N28" s="42">
        <f t="shared" si="29"/>
        <v>0.49562003202532129</v>
      </c>
      <c r="O28" s="1"/>
      <c r="P28" s="28">
        <v>11.5</v>
      </c>
      <c r="Q28" s="27">
        <v>300</v>
      </c>
      <c r="R28" s="37">
        <f t="shared" si="13"/>
        <v>0.5</v>
      </c>
      <c r="S28" s="43">
        <f>Cp_Rocks!$P$28</f>
        <v>834.61495385054593</v>
      </c>
      <c r="T28" s="44">
        <v>3000000000000</v>
      </c>
      <c r="U28" s="44">
        <f t="shared" si="1"/>
        <v>3.7557672923274566E+17</v>
      </c>
      <c r="V28" s="27">
        <v>37416</v>
      </c>
      <c r="W28" s="44">
        <f t="shared" si="2"/>
        <v>1.4052578900972411E+22</v>
      </c>
      <c r="X28" s="27">
        <v>18.600000000000001</v>
      </c>
      <c r="Y28" s="44">
        <f t="shared" si="3"/>
        <v>2.6137796755808686E+23</v>
      </c>
      <c r="Z28" s="27">
        <f t="shared" si="4"/>
        <v>8288240980.4061031</v>
      </c>
      <c r="AA28" s="27">
        <f t="shared" si="5"/>
        <v>8.2882409804061023E-3</v>
      </c>
      <c r="AB28" s="42">
        <f t="shared" si="28"/>
        <v>0.19477366303954335</v>
      </c>
      <c r="AC28" s="1"/>
      <c r="AD28" s="1"/>
      <c r="AE28" s="28">
        <v>11.5</v>
      </c>
      <c r="AF28" s="27">
        <v>300</v>
      </c>
      <c r="AG28" s="37">
        <f t="shared" si="14"/>
        <v>0.5</v>
      </c>
      <c r="AH28" s="43">
        <f>Cp_Rocks!$P$28</f>
        <v>834.61495385054593</v>
      </c>
      <c r="AI28" s="44">
        <v>2800000000000</v>
      </c>
      <c r="AJ28" s="44">
        <f t="shared" si="6"/>
        <v>3.5053828061722931E+17</v>
      </c>
      <c r="AK28" s="27">
        <v>11145</v>
      </c>
      <c r="AL28" s="44">
        <f t="shared" si="15"/>
        <v>3.9067491374790208E+21</v>
      </c>
      <c r="AM28" s="27">
        <v>46.9</v>
      </c>
      <c r="AN28" s="44">
        <f t="shared" si="16"/>
        <v>1.8322653454776606E+23</v>
      </c>
      <c r="AO28" s="27">
        <f t="shared" si="17"/>
        <v>5810075296.4157171</v>
      </c>
      <c r="AP28" s="27">
        <f t="shared" si="18"/>
        <v>5.8100752964157171E-3</v>
      </c>
      <c r="AQ28" s="42">
        <f t="shared" si="30"/>
        <v>0.13653676946576943</v>
      </c>
      <c r="AR28" s="1"/>
      <c r="AS28" s="34">
        <v>11.5</v>
      </c>
      <c r="AT28" s="35">
        <v>300</v>
      </c>
      <c r="AU28" s="38">
        <f t="shared" si="19"/>
        <v>0.5</v>
      </c>
      <c r="AV28" s="49">
        <f>Cp_Rocks!$P$28</f>
        <v>834.61495385054593</v>
      </c>
      <c r="AW28" s="50">
        <v>2800000000000</v>
      </c>
      <c r="AX28" s="50">
        <f t="shared" si="7"/>
        <v>3.5053828061722931E+17</v>
      </c>
      <c r="AY28" s="35">
        <v>21700</v>
      </c>
      <c r="AZ28" s="50">
        <f t="shared" si="20"/>
        <v>7.6066806893938758E+21</v>
      </c>
      <c r="BA28" s="38">
        <v>12.573265651438241</v>
      </c>
      <c r="BB28" s="50">
        <f t="shared" si="21"/>
        <v>9.5640817033414579E+22</v>
      </c>
      <c r="BC28" s="35">
        <f t="shared" si="22"/>
        <v>3032750413.2868652</v>
      </c>
      <c r="BD28" s="35">
        <f t="shared" si="23"/>
        <v>3.0327504132868651E-3</v>
      </c>
      <c r="BE28" s="51">
        <f t="shared" si="31"/>
        <v>7.1269634712241306E-2</v>
      </c>
    </row>
    <row r="29" spans="1:57" x14ac:dyDescent="0.3">
      <c r="A29" s="1"/>
      <c r="B29" s="28">
        <v>12</v>
      </c>
      <c r="C29" s="27">
        <v>300</v>
      </c>
      <c r="D29" s="37">
        <f t="shared" si="8"/>
        <v>0.5</v>
      </c>
      <c r="E29" s="43">
        <f>Cp_Rocks!$P$28</f>
        <v>834.61495385054593</v>
      </c>
      <c r="F29" s="44">
        <v>2800000000000</v>
      </c>
      <c r="G29" s="44">
        <f t="shared" si="0"/>
        <v>3.5053828061722931E+17</v>
      </c>
      <c r="H29" s="27">
        <v>22723</v>
      </c>
      <c r="I29" s="44">
        <f t="shared" si="9"/>
        <v>7.9652813504653013E+21</v>
      </c>
      <c r="J29" s="27">
        <v>83.5</v>
      </c>
      <c r="K29" s="44">
        <f t="shared" si="10"/>
        <v>6.6510099276385265E+23</v>
      </c>
      <c r="L29" s="27">
        <f t="shared" si="11"/>
        <v>21090214128.737083</v>
      </c>
      <c r="M29" s="27">
        <f t="shared" si="12"/>
        <v>2.1090214128737083E-2</v>
      </c>
      <c r="N29" s="42">
        <f t="shared" si="29"/>
        <v>0.51671024615405836</v>
      </c>
      <c r="O29" s="1"/>
      <c r="P29" s="28">
        <v>12</v>
      </c>
      <c r="Q29" s="27">
        <v>300</v>
      </c>
      <c r="R29" s="37">
        <f t="shared" si="13"/>
        <v>0.5</v>
      </c>
      <c r="S29" s="43">
        <f>Cp_Rocks!$P$28</f>
        <v>834.61495385054593</v>
      </c>
      <c r="T29" s="44">
        <v>3000000000000</v>
      </c>
      <c r="U29" s="44">
        <f t="shared" si="1"/>
        <v>3.7557672923274566E+17</v>
      </c>
      <c r="V29" s="27">
        <v>37416</v>
      </c>
      <c r="W29" s="44">
        <f t="shared" si="2"/>
        <v>1.4052578900972411E+22</v>
      </c>
      <c r="X29" s="27">
        <v>18.600000000000001</v>
      </c>
      <c r="Y29" s="44">
        <f t="shared" si="3"/>
        <v>2.6137796755808686E+23</v>
      </c>
      <c r="Z29" s="27">
        <f t="shared" si="4"/>
        <v>8288240980.4061031</v>
      </c>
      <c r="AA29" s="27">
        <f t="shared" si="5"/>
        <v>8.2882409804061023E-3</v>
      </c>
      <c r="AB29" s="42">
        <f t="shared" si="28"/>
        <v>0.20306190401994945</v>
      </c>
      <c r="AC29" s="1"/>
      <c r="AD29" s="1"/>
      <c r="AE29" s="28">
        <v>12</v>
      </c>
      <c r="AF29" s="27">
        <v>300</v>
      </c>
      <c r="AG29" s="37">
        <f t="shared" si="14"/>
        <v>0.5</v>
      </c>
      <c r="AH29" s="43">
        <f>Cp_Rocks!$P$28</f>
        <v>834.61495385054593</v>
      </c>
      <c r="AI29" s="44">
        <v>2800000000000</v>
      </c>
      <c r="AJ29" s="44">
        <f t="shared" si="6"/>
        <v>3.5053828061722931E+17</v>
      </c>
      <c r="AK29" s="27">
        <v>11145</v>
      </c>
      <c r="AL29" s="44">
        <f t="shared" si="15"/>
        <v>3.9067491374790208E+21</v>
      </c>
      <c r="AM29" s="27">
        <v>46.9</v>
      </c>
      <c r="AN29" s="44">
        <f t="shared" si="16"/>
        <v>1.8322653454776606E+23</v>
      </c>
      <c r="AO29" s="27">
        <f t="shared" si="17"/>
        <v>5810075296.4157171</v>
      </c>
      <c r="AP29" s="27">
        <f t="shared" si="18"/>
        <v>5.8100752964157171E-3</v>
      </c>
      <c r="AQ29" s="42">
        <f t="shared" si="30"/>
        <v>0.14234684476218515</v>
      </c>
      <c r="AR29" s="1"/>
      <c r="AS29" s="34">
        <v>12</v>
      </c>
      <c r="AT29" s="35">
        <v>300</v>
      </c>
      <c r="AU29" s="38">
        <f t="shared" si="19"/>
        <v>0.5</v>
      </c>
      <c r="AV29" s="49">
        <f>Cp_Rocks!$P$28</f>
        <v>834.61495385054593</v>
      </c>
      <c r="AW29" s="50">
        <v>2800000000000</v>
      </c>
      <c r="AX29" s="50">
        <f t="shared" si="7"/>
        <v>3.5053828061722931E+17</v>
      </c>
      <c r="AY29" s="35">
        <v>21700</v>
      </c>
      <c r="AZ29" s="50">
        <f t="shared" si="20"/>
        <v>7.6066806893938758E+21</v>
      </c>
      <c r="BA29" s="38">
        <v>12.573265651438241</v>
      </c>
      <c r="BB29" s="50">
        <f t="shared" si="21"/>
        <v>9.5640817033414579E+22</v>
      </c>
      <c r="BC29" s="35">
        <f t="shared" si="22"/>
        <v>3032750413.2868652</v>
      </c>
      <c r="BD29" s="35">
        <f t="shared" si="23"/>
        <v>3.0327504132868651E-3</v>
      </c>
      <c r="BE29" s="51">
        <f t="shared" si="31"/>
        <v>7.430238512552817E-2</v>
      </c>
    </row>
    <row r="30" spans="1:57" x14ac:dyDescent="0.3">
      <c r="A30" s="1"/>
      <c r="B30" s="28">
        <v>12.5</v>
      </c>
      <c r="C30" s="27">
        <v>300</v>
      </c>
      <c r="D30" s="37">
        <f t="shared" si="8"/>
        <v>0.5</v>
      </c>
      <c r="E30" s="43">
        <f>Cp_Rocks!$P$28</f>
        <v>834.61495385054593</v>
      </c>
      <c r="F30" s="44">
        <v>2800000000000</v>
      </c>
      <c r="G30" s="44">
        <f t="shared" si="0"/>
        <v>3.5053828061722931E+17</v>
      </c>
      <c r="H30" s="27">
        <v>22723</v>
      </c>
      <c r="I30" s="44">
        <f t="shared" si="9"/>
        <v>7.9652813504653013E+21</v>
      </c>
      <c r="J30" s="27">
        <v>83.5</v>
      </c>
      <c r="K30" s="44">
        <f t="shared" si="10"/>
        <v>6.6510099276385265E+23</v>
      </c>
      <c r="L30" s="27">
        <f t="shared" si="11"/>
        <v>21090214128.737083</v>
      </c>
      <c r="M30" s="27">
        <f t="shared" si="12"/>
        <v>2.1090214128737083E-2</v>
      </c>
      <c r="N30" s="42">
        <f t="shared" si="29"/>
        <v>0.53780046028279549</v>
      </c>
      <c r="O30" s="1"/>
      <c r="P30" s="28">
        <v>12.5</v>
      </c>
      <c r="Q30" s="27">
        <v>300</v>
      </c>
      <c r="R30" s="37">
        <f t="shared" si="13"/>
        <v>0.5</v>
      </c>
      <c r="S30" s="43">
        <f>Cp_Rocks!$P$28</f>
        <v>834.61495385054593</v>
      </c>
      <c r="T30" s="44">
        <v>3000000000000</v>
      </c>
      <c r="U30" s="44">
        <f t="shared" si="1"/>
        <v>3.7557672923274566E+17</v>
      </c>
      <c r="V30" s="27">
        <v>37416</v>
      </c>
      <c r="W30" s="44">
        <f t="shared" si="2"/>
        <v>1.4052578900972411E+22</v>
      </c>
      <c r="X30" s="27">
        <v>18.600000000000001</v>
      </c>
      <c r="Y30" s="44">
        <f t="shared" si="3"/>
        <v>2.6137796755808686E+23</v>
      </c>
      <c r="Z30" s="27">
        <f t="shared" si="4"/>
        <v>8288240980.4061031</v>
      </c>
      <c r="AA30" s="27">
        <f t="shared" si="5"/>
        <v>8.2882409804061023E-3</v>
      </c>
      <c r="AB30" s="42">
        <f t="shared" si="28"/>
        <v>0.21135014500035554</v>
      </c>
      <c r="AC30" s="1"/>
      <c r="AD30" s="1"/>
      <c r="AE30" s="28">
        <v>12.5</v>
      </c>
      <c r="AF30" s="27">
        <v>300</v>
      </c>
      <c r="AG30" s="37">
        <f t="shared" si="14"/>
        <v>0.5</v>
      </c>
      <c r="AH30" s="43">
        <f>Cp_Rocks!$P$28</f>
        <v>834.61495385054593</v>
      </c>
      <c r="AI30" s="44">
        <v>2800000000000</v>
      </c>
      <c r="AJ30" s="44">
        <f t="shared" si="6"/>
        <v>3.5053828061722931E+17</v>
      </c>
      <c r="AK30" s="27">
        <v>11145</v>
      </c>
      <c r="AL30" s="44">
        <f t="shared" si="15"/>
        <v>3.9067491374790208E+21</v>
      </c>
      <c r="AM30" s="27">
        <v>46.9</v>
      </c>
      <c r="AN30" s="44">
        <f t="shared" si="16"/>
        <v>1.8322653454776606E+23</v>
      </c>
      <c r="AO30" s="27">
        <f t="shared" si="17"/>
        <v>5810075296.4157171</v>
      </c>
      <c r="AP30" s="27">
        <f t="shared" si="18"/>
        <v>5.8100752964157171E-3</v>
      </c>
      <c r="AQ30" s="42">
        <f t="shared" si="30"/>
        <v>0.14815692005860087</v>
      </c>
      <c r="AR30" s="1"/>
      <c r="AS30" s="28">
        <v>12.5</v>
      </c>
      <c r="AT30" s="27">
        <v>300</v>
      </c>
      <c r="AU30" s="37">
        <f t="shared" si="19"/>
        <v>0.5</v>
      </c>
      <c r="AV30" s="43">
        <f>Cp_Rocks!$P$28</f>
        <v>834.61495385054593</v>
      </c>
      <c r="AW30" s="44">
        <v>2800000000000</v>
      </c>
      <c r="AX30" s="44">
        <f t="shared" si="7"/>
        <v>3.5053828061722931E+17</v>
      </c>
      <c r="AY30" s="27">
        <v>21700</v>
      </c>
      <c r="AZ30" s="44">
        <f t="shared" si="20"/>
        <v>7.6066806893938758E+21</v>
      </c>
      <c r="BA30" s="37">
        <v>12.573265651438241</v>
      </c>
      <c r="BB30" s="44">
        <f t="shared" si="21"/>
        <v>9.5640817033414579E+22</v>
      </c>
      <c r="BC30" s="27">
        <f t="shared" si="22"/>
        <v>3032750413.2868652</v>
      </c>
      <c r="BD30" s="27">
        <f t="shared" si="23"/>
        <v>3.0327504132868651E-3</v>
      </c>
      <c r="BE30" s="42">
        <f t="shared" si="31"/>
        <v>7.7335135538815034E-2</v>
      </c>
    </row>
    <row r="31" spans="1:57" x14ac:dyDescent="0.3">
      <c r="A31" s="1"/>
      <c r="B31" s="28">
        <v>13</v>
      </c>
      <c r="C31" s="27">
        <v>300</v>
      </c>
      <c r="D31" s="37">
        <f t="shared" si="8"/>
        <v>0.5</v>
      </c>
      <c r="E31" s="43">
        <f>Cp_Rocks!$P$28</f>
        <v>834.61495385054593</v>
      </c>
      <c r="F31" s="44">
        <v>2800000000000</v>
      </c>
      <c r="G31" s="44">
        <f t="shared" si="0"/>
        <v>3.5053828061722931E+17</v>
      </c>
      <c r="H31" s="27">
        <v>22723</v>
      </c>
      <c r="I31" s="44">
        <f t="shared" si="9"/>
        <v>7.9652813504653013E+21</v>
      </c>
      <c r="J31" s="27">
        <v>83.5</v>
      </c>
      <c r="K31" s="44">
        <f t="shared" si="10"/>
        <v>6.6510099276385265E+23</v>
      </c>
      <c r="L31" s="27">
        <f t="shared" si="11"/>
        <v>21090214128.737083</v>
      </c>
      <c r="M31" s="27">
        <f t="shared" si="12"/>
        <v>2.1090214128737083E-2</v>
      </c>
      <c r="N31" s="42">
        <f t="shared" si="29"/>
        <v>0.55889067441153262</v>
      </c>
      <c r="O31" s="1"/>
      <c r="P31" s="28">
        <v>13</v>
      </c>
      <c r="Q31" s="27">
        <v>300</v>
      </c>
      <c r="R31" s="37">
        <f t="shared" si="13"/>
        <v>0.5</v>
      </c>
      <c r="S31" s="43">
        <f>Cp_Rocks!$P$28</f>
        <v>834.61495385054593</v>
      </c>
      <c r="T31" s="44">
        <v>3000000000000</v>
      </c>
      <c r="U31" s="44">
        <f t="shared" si="1"/>
        <v>3.7557672923274566E+17</v>
      </c>
      <c r="V31" s="27">
        <v>37416</v>
      </c>
      <c r="W31" s="44">
        <f t="shared" si="2"/>
        <v>1.4052578900972411E+22</v>
      </c>
      <c r="X31" s="27">
        <v>18.600000000000001</v>
      </c>
      <c r="Y31" s="44">
        <f t="shared" si="3"/>
        <v>2.6137796755808686E+23</v>
      </c>
      <c r="Z31" s="27">
        <f t="shared" si="4"/>
        <v>8288240980.4061031</v>
      </c>
      <c r="AA31" s="27">
        <f t="shared" si="5"/>
        <v>8.2882409804061023E-3</v>
      </c>
      <c r="AB31" s="42">
        <f t="shared" si="28"/>
        <v>0.21963838598076163</v>
      </c>
      <c r="AC31" s="1"/>
      <c r="AD31" s="1"/>
      <c r="AE31" s="28">
        <v>13</v>
      </c>
      <c r="AF31" s="27">
        <v>300</v>
      </c>
      <c r="AG31" s="37">
        <f t="shared" si="14"/>
        <v>0.5</v>
      </c>
      <c r="AH31" s="43">
        <f>Cp_Rocks!$P$28</f>
        <v>834.61495385054593</v>
      </c>
      <c r="AI31" s="44">
        <v>2800000000000</v>
      </c>
      <c r="AJ31" s="44">
        <f t="shared" si="6"/>
        <v>3.5053828061722931E+17</v>
      </c>
      <c r="AK31" s="27">
        <v>11145</v>
      </c>
      <c r="AL31" s="44">
        <f t="shared" si="15"/>
        <v>3.9067491374790208E+21</v>
      </c>
      <c r="AM31" s="27">
        <v>46.9</v>
      </c>
      <c r="AN31" s="44">
        <f t="shared" si="16"/>
        <v>1.8322653454776606E+23</v>
      </c>
      <c r="AO31" s="27">
        <f t="shared" si="17"/>
        <v>5810075296.4157171</v>
      </c>
      <c r="AP31" s="27">
        <f t="shared" si="18"/>
        <v>5.8100752964157171E-3</v>
      </c>
      <c r="AQ31" s="42">
        <f t="shared" si="30"/>
        <v>0.15396699535501659</v>
      </c>
      <c r="AR31" s="1"/>
      <c r="AS31" s="28">
        <v>13</v>
      </c>
      <c r="AT31" s="27">
        <v>300</v>
      </c>
      <c r="AU31" s="37">
        <f t="shared" si="19"/>
        <v>0.5</v>
      </c>
      <c r="AV31" s="43">
        <f>Cp_Rocks!$P$28</f>
        <v>834.61495385054593</v>
      </c>
      <c r="AW31" s="44">
        <v>2800000000000</v>
      </c>
      <c r="AX31" s="44">
        <f t="shared" si="7"/>
        <v>3.5053828061722931E+17</v>
      </c>
      <c r="AY31" s="27">
        <v>21700</v>
      </c>
      <c r="AZ31" s="44">
        <f t="shared" si="20"/>
        <v>7.6066806893938758E+21</v>
      </c>
      <c r="BA31" s="37">
        <v>12.573265651438241</v>
      </c>
      <c r="BB31" s="44">
        <f t="shared" si="21"/>
        <v>9.5640817033414579E+22</v>
      </c>
      <c r="BC31" s="27">
        <f t="shared" si="22"/>
        <v>3032750413.2868652</v>
      </c>
      <c r="BD31" s="27">
        <f t="shared" si="23"/>
        <v>3.0327504132868651E-3</v>
      </c>
      <c r="BE31" s="42">
        <f t="shared" si="31"/>
        <v>8.0367885952101897E-2</v>
      </c>
    </row>
    <row r="32" spans="1:57" x14ac:dyDescent="0.3">
      <c r="A32" s="1"/>
      <c r="B32" s="28">
        <v>13.5</v>
      </c>
      <c r="C32" s="27">
        <v>300</v>
      </c>
      <c r="D32" s="37">
        <f t="shared" si="8"/>
        <v>0.5</v>
      </c>
      <c r="E32" s="43">
        <f>Cp_Rocks!$P$28</f>
        <v>834.61495385054593</v>
      </c>
      <c r="F32" s="44">
        <v>2800000000000</v>
      </c>
      <c r="G32" s="44">
        <f t="shared" si="0"/>
        <v>3.5053828061722931E+17</v>
      </c>
      <c r="H32" s="27">
        <v>22723</v>
      </c>
      <c r="I32" s="44">
        <f t="shared" si="9"/>
        <v>7.9652813504653013E+21</v>
      </c>
      <c r="J32" s="27">
        <v>83.5</v>
      </c>
      <c r="K32" s="44">
        <f t="shared" si="10"/>
        <v>6.6510099276385265E+23</v>
      </c>
      <c r="L32" s="27">
        <f t="shared" si="11"/>
        <v>21090214128.737083</v>
      </c>
      <c r="M32" s="27">
        <f t="shared" si="12"/>
        <v>2.1090214128737083E-2</v>
      </c>
      <c r="N32" s="42">
        <f t="shared" si="29"/>
        <v>0.57998088854026975</v>
      </c>
      <c r="O32" s="1"/>
      <c r="P32" s="28">
        <v>13.5</v>
      </c>
      <c r="Q32" s="27">
        <v>300</v>
      </c>
      <c r="R32" s="37">
        <f t="shared" si="13"/>
        <v>0.5</v>
      </c>
      <c r="S32" s="43">
        <f>Cp_Rocks!$P$28</f>
        <v>834.61495385054593</v>
      </c>
      <c r="T32" s="44">
        <v>3000000000000</v>
      </c>
      <c r="U32" s="44">
        <f t="shared" si="1"/>
        <v>3.7557672923274566E+17</v>
      </c>
      <c r="V32" s="27">
        <v>37416</v>
      </c>
      <c r="W32" s="44">
        <f t="shared" si="2"/>
        <v>1.4052578900972411E+22</v>
      </c>
      <c r="X32" s="27">
        <v>18.600000000000001</v>
      </c>
      <c r="Y32" s="44">
        <f t="shared" si="3"/>
        <v>2.6137796755808686E+23</v>
      </c>
      <c r="Z32" s="27">
        <f t="shared" si="4"/>
        <v>8288240980.4061031</v>
      </c>
      <c r="AA32" s="27">
        <f t="shared" si="5"/>
        <v>8.2882409804061023E-3</v>
      </c>
      <c r="AB32" s="42">
        <f t="shared" si="28"/>
        <v>0.22792662696116772</v>
      </c>
      <c r="AC32" s="1"/>
      <c r="AD32" s="1"/>
      <c r="AE32" s="28">
        <v>13.5</v>
      </c>
      <c r="AF32" s="27">
        <v>300</v>
      </c>
      <c r="AG32" s="37">
        <f t="shared" si="14"/>
        <v>0.5</v>
      </c>
      <c r="AH32" s="43">
        <f>Cp_Rocks!$P$28</f>
        <v>834.61495385054593</v>
      </c>
      <c r="AI32" s="44">
        <v>2800000000000</v>
      </c>
      <c r="AJ32" s="44">
        <f t="shared" si="6"/>
        <v>3.5053828061722931E+17</v>
      </c>
      <c r="AK32" s="27">
        <v>11145</v>
      </c>
      <c r="AL32" s="44">
        <f t="shared" si="15"/>
        <v>3.9067491374790208E+21</v>
      </c>
      <c r="AM32" s="27">
        <v>46.9</v>
      </c>
      <c r="AN32" s="44">
        <f t="shared" si="16"/>
        <v>1.8322653454776606E+23</v>
      </c>
      <c r="AO32" s="27">
        <f t="shared" si="17"/>
        <v>5810075296.4157171</v>
      </c>
      <c r="AP32" s="27">
        <f t="shared" si="18"/>
        <v>5.8100752964157171E-3</v>
      </c>
      <c r="AQ32" s="42">
        <f t="shared" si="30"/>
        <v>0.15977707065143232</v>
      </c>
      <c r="AR32" s="1"/>
      <c r="AS32" s="28">
        <v>13.5</v>
      </c>
      <c r="AT32" s="27">
        <v>300</v>
      </c>
      <c r="AU32" s="37">
        <f t="shared" si="19"/>
        <v>0.5</v>
      </c>
      <c r="AV32" s="43">
        <f>Cp_Rocks!$P$28</f>
        <v>834.61495385054593</v>
      </c>
      <c r="AW32" s="44">
        <v>2800000000000</v>
      </c>
      <c r="AX32" s="44">
        <f t="shared" si="7"/>
        <v>3.5053828061722931E+17</v>
      </c>
      <c r="AY32" s="27">
        <v>21700</v>
      </c>
      <c r="AZ32" s="44">
        <f t="shared" si="20"/>
        <v>7.6066806893938758E+21</v>
      </c>
      <c r="BA32" s="37">
        <v>12.573265651438241</v>
      </c>
      <c r="BB32" s="44">
        <f t="shared" si="21"/>
        <v>9.5640817033414579E+22</v>
      </c>
      <c r="BC32" s="27">
        <f t="shared" si="22"/>
        <v>3032750413.2868652</v>
      </c>
      <c r="BD32" s="27">
        <f t="shared" si="23"/>
        <v>3.0327504132868651E-3</v>
      </c>
      <c r="BE32" s="42">
        <f t="shared" si="31"/>
        <v>8.3400636365388761E-2</v>
      </c>
    </row>
    <row r="33" spans="1:57" x14ac:dyDescent="0.3">
      <c r="A33" s="1"/>
      <c r="B33" s="28">
        <v>14</v>
      </c>
      <c r="C33" s="27">
        <v>300</v>
      </c>
      <c r="D33" s="37">
        <f t="shared" si="8"/>
        <v>0.5</v>
      </c>
      <c r="E33" s="43">
        <f>Cp_Rocks!$P$28</f>
        <v>834.61495385054593</v>
      </c>
      <c r="F33" s="44">
        <v>2800000000000</v>
      </c>
      <c r="G33" s="44">
        <f t="shared" si="0"/>
        <v>3.5053828061722931E+17</v>
      </c>
      <c r="H33" s="27">
        <v>22723</v>
      </c>
      <c r="I33" s="44">
        <f t="shared" si="9"/>
        <v>7.9652813504653013E+21</v>
      </c>
      <c r="J33" s="27">
        <v>83.5</v>
      </c>
      <c r="K33" s="44">
        <f t="shared" si="10"/>
        <v>6.6510099276385265E+23</v>
      </c>
      <c r="L33" s="27">
        <f t="shared" si="11"/>
        <v>21090214128.737083</v>
      </c>
      <c r="M33" s="27">
        <f t="shared" si="12"/>
        <v>2.1090214128737083E-2</v>
      </c>
      <c r="N33" s="42">
        <f t="shared" si="29"/>
        <v>0.60107110266900687</v>
      </c>
      <c r="O33" s="1"/>
      <c r="P33" s="28">
        <v>14</v>
      </c>
      <c r="Q33" s="27">
        <v>300</v>
      </c>
      <c r="R33" s="37">
        <f t="shared" si="13"/>
        <v>0.5</v>
      </c>
      <c r="S33" s="43">
        <f>Cp_Rocks!$P$28</f>
        <v>834.61495385054593</v>
      </c>
      <c r="T33" s="44">
        <v>3000000000000</v>
      </c>
      <c r="U33" s="44">
        <f t="shared" si="1"/>
        <v>3.7557672923274566E+17</v>
      </c>
      <c r="V33" s="27">
        <v>37416</v>
      </c>
      <c r="W33" s="44">
        <f t="shared" si="2"/>
        <v>1.4052578900972411E+22</v>
      </c>
      <c r="X33" s="27">
        <v>18.600000000000001</v>
      </c>
      <c r="Y33" s="44">
        <f t="shared" si="3"/>
        <v>2.6137796755808686E+23</v>
      </c>
      <c r="Z33" s="27">
        <f t="shared" si="4"/>
        <v>8288240980.4061031</v>
      </c>
      <c r="AA33" s="27">
        <f t="shared" si="5"/>
        <v>8.2882409804061023E-3</v>
      </c>
      <c r="AB33" s="42">
        <f t="shared" si="28"/>
        <v>0.23621486794157381</v>
      </c>
      <c r="AC33" s="1"/>
      <c r="AD33" s="1"/>
      <c r="AE33" s="28">
        <v>14</v>
      </c>
      <c r="AF33" s="27">
        <v>300</v>
      </c>
      <c r="AG33" s="37">
        <f t="shared" si="14"/>
        <v>0.5</v>
      </c>
      <c r="AH33" s="43">
        <f>Cp_Rocks!$P$28</f>
        <v>834.61495385054593</v>
      </c>
      <c r="AI33" s="44">
        <v>2800000000000</v>
      </c>
      <c r="AJ33" s="44">
        <f t="shared" si="6"/>
        <v>3.5053828061722931E+17</v>
      </c>
      <c r="AK33" s="27">
        <v>11145</v>
      </c>
      <c r="AL33" s="44">
        <f t="shared" si="15"/>
        <v>3.9067491374790208E+21</v>
      </c>
      <c r="AM33" s="27">
        <v>46.9</v>
      </c>
      <c r="AN33" s="44">
        <f t="shared" si="16"/>
        <v>1.8322653454776606E+23</v>
      </c>
      <c r="AO33" s="27">
        <f t="shared" si="17"/>
        <v>5810075296.4157171</v>
      </c>
      <c r="AP33" s="27">
        <f t="shared" si="18"/>
        <v>5.8100752964157171E-3</v>
      </c>
      <c r="AQ33" s="42">
        <f t="shared" si="30"/>
        <v>0.16558714594784804</v>
      </c>
      <c r="AR33" s="1"/>
      <c r="AS33" s="28">
        <v>14</v>
      </c>
      <c r="AT33" s="27">
        <v>300</v>
      </c>
      <c r="AU33" s="37">
        <f t="shared" si="19"/>
        <v>0.5</v>
      </c>
      <c r="AV33" s="43">
        <f>Cp_Rocks!$P$28</f>
        <v>834.61495385054593</v>
      </c>
      <c r="AW33" s="44">
        <v>2800000000000</v>
      </c>
      <c r="AX33" s="44">
        <f t="shared" si="7"/>
        <v>3.5053828061722931E+17</v>
      </c>
      <c r="AY33" s="27">
        <v>21700</v>
      </c>
      <c r="AZ33" s="44">
        <f t="shared" si="20"/>
        <v>7.6066806893938758E+21</v>
      </c>
      <c r="BA33" s="37">
        <v>12.573265651438241</v>
      </c>
      <c r="BB33" s="44">
        <f t="shared" si="21"/>
        <v>9.5640817033414579E+22</v>
      </c>
      <c r="BC33" s="27">
        <f t="shared" si="22"/>
        <v>3032750413.2868652</v>
      </c>
      <c r="BD33" s="27">
        <f t="shared" si="23"/>
        <v>3.0327504132868651E-3</v>
      </c>
      <c r="BE33" s="42">
        <f t="shared" si="31"/>
        <v>8.6433386778675625E-2</v>
      </c>
    </row>
    <row r="34" spans="1:57" x14ac:dyDescent="0.3">
      <c r="A34" s="1"/>
      <c r="B34" s="28">
        <v>14.5</v>
      </c>
      <c r="C34" s="27">
        <v>300</v>
      </c>
      <c r="D34" s="37">
        <f t="shared" si="8"/>
        <v>0.5</v>
      </c>
      <c r="E34" s="43">
        <f>Cp_Rocks!$P$28</f>
        <v>834.61495385054593</v>
      </c>
      <c r="F34" s="44">
        <v>2800000000000</v>
      </c>
      <c r="G34" s="44">
        <f t="shared" si="0"/>
        <v>3.5053828061722931E+17</v>
      </c>
      <c r="H34" s="27">
        <v>22723</v>
      </c>
      <c r="I34" s="44">
        <f t="shared" si="9"/>
        <v>7.9652813504653013E+21</v>
      </c>
      <c r="J34" s="27">
        <v>83.5</v>
      </c>
      <c r="K34" s="44">
        <f t="shared" si="10"/>
        <v>6.6510099276385265E+23</v>
      </c>
      <c r="L34" s="27">
        <f t="shared" si="11"/>
        <v>21090214128.737083</v>
      </c>
      <c r="M34" s="27">
        <f t="shared" si="12"/>
        <v>2.1090214128737083E-2</v>
      </c>
      <c r="N34" s="42">
        <f t="shared" si="29"/>
        <v>0.622161316797744</v>
      </c>
      <c r="O34" s="1"/>
      <c r="P34" s="28">
        <v>14.5</v>
      </c>
      <c r="Q34" s="27">
        <v>300</v>
      </c>
      <c r="R34" s="37">
        <f t="shared" si="13"/>
        <v>0.5</v>
      </c>
      <c r="S34" s="43">
        <f>Cp_Rocks!$P$28</f>
        <v>834.61495385054593</v>
      </c>
      <c r="T34" s="44">
        <v>3000000000000</v>
      </c>
      <c r="U34" s="44">
        <f t="shared" si="1"/>
        <v>3.7557672923274566E+17</v>
      </c>
      <c r="V34" s="27">
        <v>37416</v>
      </c>
      <c r="W34" s="44">
        <f t="shared" si="2"/>
        <v>1.4052578900972411E+22</v>
      </c>
      <c r="X34" s="27">
        <v>18.600000000000001</v>
      </c>
      <c r="Y34" s="44">
        <f t="shared" si="3"/>
        <v>2.6137796755808686E+23</v>
      </c>
      <c r="Z34" s="27">
        <f t="shared" si="4"/>
        <v>8288240980.4061031</v>
      </c>
      <c r="AA34" s="27">
        <f t="shared" si="5"/>
        <v>8.2882409804061023E-3</v>
      </c>
      <c r="AB34" s="42">
        <f t="shared" si="28"/>
        <v>0.24450310892197991</v>
      </c>
      <c r="AC34" s="1"/>
      <c r="AD34" s="1"/>
      <c r="AE34" s="28">
        <v>14.5</v>
      </c>
      <c r="AF34" s="27">
        <v>300</v>
      </c>
      <c r="AG34" s="37">
        <f t="shared" si="14"/>
        <v>0.5</v>
      </c>
      <c r="AH34" s="43">
        <f>Cp_Rocks!$P$28</f>
        <v>834.61495385054593</v>
      </c>
      <c r="AI34" s="44">
        <v>2800000000000</v>
      </c>
      <c r="AJ34" s="44">
        <f t="shared" si="6"/>
        <v>3.5053828061722931E+17</v>
      </c>
      <c r="AK34" s="27">
        <v>11145</v>
      </c>
      <c r="AL34" s="44">
        <f t="shared" si="15"/>
        <v>3.9067491374790208E+21</v>
      </c>
      <c r="AM34" s="27">
        <v>46.9</v>
      </c>
      <c r="AN34" s="44">
        <f t="shared" si="16"/>
        <v>1.8322653454776606E+23</v>
      </c>
      <c r="AO34" s="27">
        <f t="shared" si="17"/>
        <v>5810075296.4157171</v>
      </c>
      <c r="AP34" s="27">
        <f t="shared" si="18"/>
        <v>5.8100752964157171E-3</v>
      </c>
      <c r="AQ34" s="42">
        <f t="shared" si="30"/>
        <v>0.17139722124426376</v>
      </c>
      <c r="AR34" s="1"/>
      <c r="AS34" s="28">
        <v>14.5</v>
      </c>
      <c r="AT34" s="27">
        <v>300</v>
      </c>
      <c r="AU34" s="37">
        <f t="shared" si="19"/>
        <v>0.5</v>
      </c>
      <c r="AV34" s="43">
        <f>Cp_Rocks!$P$28</f>
        <v>834.61495385054593</v>
      </c>
      <c r="AW34" s="44">
        <v>2800000000000</v>
      </c>
      <c r="AX34" s="44">
        <f t="shared" si="7"/>
        <v>3.5053828061722931E+17</v>
      </c>
      <c r="AY34" s="27">
        <v>21700</v>
      </c>
      <c r="AZ34" s="44">
        <f t="shared" si="20"/>
        <v>7.6066806893938758E+21</v>
      </c>
      <c r="BA34" s="37">
        <v>12.573265651438241</v>
      </c>
      <c r="BB34" s="44">
        <f t="shared" si="21"/>
        <v>9.5640817033414579E+22</v>
      </c>
      <c r="BC34" s="27">
        <f t="shared" si="22"/>
        <v>3032750413.2868652</v>
      </c>
      <c r="BD34" s="27">
        <f t="shared" si="23"/>
        <v>3.0327504132868651E-3</v>
      </c>
      <c r="BE34" s="42">
        <f t="shared" si="31"/>
        <v>8.9466137191962489E-2</v>
      </c>
    </row>
    <row r="35" spans="1:57" x14ac:dyDescent="0.3">
      <c r="A35" s="1"/>
      <c r="B35" s="28">
        <v>15</v>
      </c>
      <c r="C35" s="27">
        <v>300</v>
      </c>
      <c r="D35" s="37">
        <f t="shared" si="8"/>
        <v>0.5</v>
      </c>
      <c r="E35" s="43">
        <f>Cp_Rocks!$P$28</f>
        <v>834.61495385054593</v>
      </c>
      <c r="F35" s="44">
        <v>2800000000000</v>
      </c>
      <c r="G35" s="44">
        <f t="shared" si="0"/>
        <v>3.5053828061722931E+17</v>
      </c>
      <c r="H35" s="27">
        <v>22723</v>
      </c>
      <c r="I35" s="44">
        <f t="shared" si="9"/>
        <v>7.9652813504653013E+21</v>
      </c>
      <c r="J35" s="27">
        <v>83.5</v>
      </c>
      <c r="K35" s="44">
        <f t="shared" si="10"/>
        <v>6.6510099276385265E+23</v>
      </c>
      <c r="L35" s="27">
        <f t="shared" si="11"/>
        <v>21090214128.737083</v>
      </c>
      <c r="M35" s="27">
        <f t="shared" si="12"/>
        <v>2.1090214128737083E-2</v>
      </c>
      <c r="N35" s="42">
        <f t="shared" si="29"/>
        <v>0.64325153092648113</v>
      </c>
      <c r="O35" s="1"/>
      <c r="P35" s="28">
        <v>15</v>
      </c>
      <c r="Q35" s="27">
        <v>300</v>
      </c>
      <c r="R35" s="37">
        <f t="shared" si="13"/>
        <v>0.5</v>
      </c>
      <c r="S35" s="43">
        <f>Cp_Rocks!$P$28</f>
        <v>834.61495385054593</v>
      </c>
      <c r="T35" s="44">
        <v>3000000000000</v>
      </c>
      <c r="U35" s="44">
        <f t="shared" si="1"/>
        <v>3.7557672923274566E+17</v>
      </c>
      <c r="V35" s="27">
        <v>37416</v>
      </c>
      <c r="W35" s="44">
        <f t="shared" si="2"/>
        <v>1.4052578900972411E+22</v>
      </c>
      <c r="X35" s="27">
        <v>18.600000000000001</v>
      </c>
      <c r="Y35" s="44">
        <f t="shared" si="3"/>
        <v>2.6137796755808686E+23</v>
      </c>
      <c r="Z35" s="27">
        <f t="shared" si="4"/>
        <v>8288240980.4061031</v>
      </c>
      <c r="AA35" s="27">
        <f t="shared" si="5"/>
        <v>8.2882409804061023E-3</v>
      </c>
      <c r="AB35" s="42">
        <f t="shared" si="28"/>
        <v>0.252791349902386</v>
      </c>
      <c r="AC35" s="1"/>
      <c r="AD35" s="1"/>
      <c r="AE35" s="28">
        <v>15</v>
      </c>
      <c r="AF35" s="27">
        <v>300</v>
      </c>
      <c r="AG35" s="37">
        <f t="shared" si="14"/>
        <v>0.5</v>
      </c>
      <c r="AH35" s="43">
        <f>Cp_Rocks!$P$28</f>
        <v>834.61495385054593</v>
      </c>
      <c r="AI35" s="44">
        <v>2800000000000</v>
      </c>
      <c r="AJ35" s="44">
        <f t="shared" si="6"/>
        <v>3.5053828061722931E+17</v>
      </c>
      <c r="AK35" s="27">
        <v>11145</v>
      </c>
      <c r="AL35" s="44">
        <f t="shared" si="15"/>
        <v>3.9067491374790208E+21</v>
      </c>
      <c r="AM35" s="27">
        <v>46.9</v>
      </c>
      <c r="AN35" s="44">
        <f t="shared" si="16"/>
        <v>1.8322653454776606E+23</v>
      </c>
      <c r="AO35" s="27">
        <f t="shared" si="17"/>
        <v>5810075296.4157171</v>
      </c>
      <c r="AP35" s="27">
        <f t="shared" si="18"/>
        <v>5.8100752964157171E-3</v>
      </c>
      <c r="AQ35" s="42">
        <f t="shared" si="30"/>
        <v>0.17720729654067949</v>
      </c>
      <c r="AR35" s="1"/>
      <c r="AS35" s="28">
        <v>15</v>
      </c>
      <c r="AT35" s="27">
        <v>300</v>
      </c>
      <c r="AU35" s="37">
        <f t="shared" si="19"/>
        <v>0.5</v>
      </c>
      <c r="AV35" s="43">
        <f>Cp_Rocks!$P$28</f>
        <v>834.61495385054593</v>
      </c>
      <c r="AW35" s="44">
        <v>2800000000000</v>
      </c>
      <c r="AX35" s="44">
        <f t="shared" si="7"/>
        <v>3.5053828061722931E+17</v>
      </c>
      <c r="AY35" s="27">
        <v>21700</v>
      </c>
      <c r="AZ35" s="44">
        <f t="shared" si="20"/>
        <v>7.6066806893938758E+21</v>
      </c>
      <c r="BA35" s="37">
        <v>12.573265651438241</v>
      </c>
      <c r="BB35" s="44">
        <f t="shared" si="21"/>
        <v>9.5640817033414579E+22</v>
      </c>
      <c r="BC35" s="27">
        <f t="shared" si="22"/>
        <v>3032750413.2868652</v>
      </c>
      <c r="BD35" s="27">
        <f t="shared" si="23"/>
        <v>3.0327504132868651E-3</v>
      </c>
      <c r="BE35" s="42">
        <f t="shared" si="31"/>
        <v>9.2498887605249352E-2</v>
      </c>
    </row>
    <row r="36" spans="1:57" x14ac:dyDescent="0.3">
      <c r="A36" s="1"/>
      <c r="B36" s="28">
        <v>15.5</v>
      </c>
      <c r="C36" s="27">
        <v>300</v>
      </c>
      <c r="D36" s="37">
        <f t="shared" si="8"/>
        <v>0.5</v>
      </c>
      <c r="E36" s="43">
        <f>Cp_Rocks!$P$28</f>
        <v>834.61495385054593</v>
      </c>
      <c r="F36" s="44">
        <v>2800000000000</v>
      </c>
      <c r="G36" s="44">
        <f t="shared" si="0"/>
        <v>3.5053828061722931E+17</v>
      </c>
      <c r="H36" s="27">
        <v>22723</v>
      </c>
      <c r="I36" s="44">
        <f t="shared" si="9"/>
        <v>7.9652813504653013E+21</v>
      </c>
      <c r="J36" s="27">
        <v>83.5</v>
      </c>
      <c r="K36" s="44">
        <f t="shared" si="10"/>
        <v>6.6510099276385265E+23</v>
      </c>
      <c r="L36" s="27">
        <f t="shared" si="11"/>
        <v>21090214128.737083</v>
      </c>
      <c r="M36" s="27">
        <f t="shared" si="12"/>
        <v>2.1090214128737083E-2</v>
      </c>
      <c r="N36" s="42">
        <f t="shared" si="29"/>
        <v>0.66434174505521826</v>
      </c>
      <c r="O36" s="1"/>
      <c r="P36" s="28">
        <v>15.5</v>
      </c>
      <c r="Q36" s="27">
        <v>300</v>
      </c>
      <c r="R36" s="37">
        <f t="shared" si="13"/>
        <v>0.5</v>
      </c>
      <c r="S36" s="43">
        <f>Cp_Rocks!$P$28</f>
        <v>834.61495385054593</v>
      </c>
      <c r="T36" s="44">
        <v>3000000000000</v>
      </c>
      <c r="U36" s="44">
        <f t="shared" si="1"/>
        <v>3.7557672923274566E+17</v>
      </c>
      <c r="V36" s="27">
        <v>37416</v>
      </c>
      <c r="W36" s="44">
        <f t="shared" si="2"/>
        <v>1.4052578900972411E+22</v>
      </c>
      <c r="X36" s="27">
        <v>18.600000000000001</v>
      </c>
      <c r="Y36" s="44">
        <f t="shared" si="3"/>
        <v>2.6137796755808686E+23</v>
      </c>
      <c r="Z36" s="27">
        <f t="shared" si="4"/>
        <v>8288240980.4061031</v>
      </c>
      <c r="AA36" s="27">
        <f t="shared" si="5"/>
        <v>8.2882409804061023E-3</v>
      </c>
      <c r="AB36" s="42">
        <f t="shared" si="28"/>
        <v>0.26107959088279209</v>
      </c>
      <c r="AC36" s="1"/>
      <c r="AD36" s="1"/>
      <c r="AE36" s="28">
        <v>15.5</v>
      </c>
      <c r="AF36" s="27">
        <v>300</v>
      </c>
      <c r="AG36" s="37">
        <f t="shared" si="14"/>
        <v>0.5</v>
      </c>
      <c r="AH36" s="43">
        <f>Cp_Rocks!$P$28</f>
        <v>834.61495385054593</v>
      </c>
      <c r="AI36" s="44">
        <v>2800000000000</v>
      </c>
      <c r="AJ36" s="44">
        <f t="shared" si="6"/>
        <v>3.5053828061722931E+17</v>
      </c>
      <c r="AK36" s="27">
        <v>11145</v>
      </c>
      <c r="AL36" s="44">
        <f t="shared" si="15"/>
        <v>3.9067491374790208E+21</v>
      </c>
      <c r="AM36" s="27">
        <v>46.9</v>
      </c>
      <c r="AN36" s="44">
        <f t="shared" si="16"/>
        <v>1.8322653454776606E+23</v>
      </c>
      <c r="AO36" s="27">
        <f t="shared" si="17"/>
        <v>5810075296.4157171</v>
      </c>
      <c r="AP36" s="27">
        <f t="shared" si="18"/>
        <v>5.8100752964157171E-3</v>
      </c>
      <c r="AQ36" s="42">
        <f t="shared" si="30"/>
        <v>0.18301737183709521</v>
      </c>
      <c r="AR36" s="1"/>
      <c r="AS36" s="28">
        <v>15.5</v>
      </c>
      <c r="AT36" s="27">
        <v>300</v>
      </c>
      <c r="AU36" s="37">
        <f t="shared" si="19"/>
        <v>0.5</v>
      </c>
      <c r="AV36" s="43">
        <f>Cp_Rocks!$P$28</f>
        <v>834.61495385054593</v>
      </c>
      <c r="AW36" s="44">
        <v>2800000000000</v>
      </c>
      <c r="AX36" s="44">
        <f t="shared" si="7"/>
        <v>3.5053828061722931E+17</v>
      </c>
      <c r="AY36" s="27">
        <v>21700</v>
      </c>
      <c r="AZ36" s="44">
        <f t="shared" si="20"/>
        <v>7.6066806893938758E+21</v>
      </c>
      <c r="BA36" s="37">
        <v>12.573265651438241</v>
      </c>
      <c r="BB36" s="44">
        <f t="shared" si="21"/>
        <v>9.5640817033414579E+22</v>
      </c>
      <c r="BC36" s="27">
        <f t="shared" si="22"/>
        <v>3032750413.2868652</v>
      </c>
      <c r="BD36" s="27">
        <f t="shared" si="23"/>
        <v>3.0327504132868651E-3</v>
      </c>
      <c r="BE36" s="42">
        <f t="shared" si="31"/>
        <v>9.5531638018536216E-2</v>
      </c>
    </row>
    <row r="37" spans="1:57" x14ac:dyDescent="0.3">
      <c r="A37" s="1"/>
      <c r="B37" s="28">
        <v>16</v>
      </c>
      <c r="C37" s="27">
        <v>300</v>
      </c>
      <c r="D37" s="37">
        <f t="shared" si="8"/>
        <v>0.5</v>
      </c>
      <c r="E37" s="43">
        <f>Cp_Rocks!$P$28</f>
        <v>834.61495385054593</v>
      </c>
      <c r="F37" s="44">
        <v>2800000000000</v>
      </c>
      <c r="G37" s="44">
        <f t="shared" ref="G37:G45" si="32">C37*D37*E37*F37</f>
        <v>3.5053828061722931E+17</v>
      </c>
      <c r="H37" s="27">
        <v>22723</v>
      </c>
      <c r="I37" s="44">
        <f t="shared" si="9"/>
        <v>7.9652813504653013E+21</v>
      </c>
      <c r="J37" s="27">
        <v>83.5</v>
      </c>
      <c r="K37" s="44">
        <f t="shared" si="10"/>
        <v>6.6510099276385265E+23</v>
      </c>
      <c r="L37" s="27">
        <f t="shared" si="11"/>
        <v>21090214128.737083</v>
      </c>
      <c r="M37" s="27">
        <f t="shared" si="12"/>
        <v>2.1090214128737083E-2</v>
      </c>
      <c r="N37" s="42">
        <f t="shared" si="29"/>
        <v>0.68543195918395539</v>
      </c>
      <c r="O37" s="1"/>
      <c r="P37" s="28">
        <v>16</v>
      </c>
      <c r="Q37" s="27">
        <v>300</v>
      </c>
      <c r="R37" s="37">
        <f t="shared" si="13"/>
        <v>0.5</v>
      </c>
      <c r="S37" s="43">
        <f>Cp_Rocks!$P$28</f>
        <v>834.61495385054593</v>
      </c>
      <c r="T37" s="44">
        <v>3000000000000</v>
      </c>
      <c r="U37" s="44">
        <f t="shared" ref="U37:U45" si="33">Q37*R37*S37*T37</f>
        <v>3.7557672923274566E+17</v>
      </c>
      <c r="V37" s="27">
        <v>37416</v>
      </c>
      <c r="W37" s="44">
        <f t="shared" si="2"/>
        <v>1.4052578900972411E+22</v>
      </c>
      <c r="X37" s="27">
        <v>18.600000000000001</v>
      </c>
      <c r="Y37" s="44">
        <f t="shared" si="3"/>
        <v>2.6137796755808686E+23</v>
      </c>
      <c r="Z37" s="27">
        <f t="shared" si="4"/>
        <v>8288240980.4061031</v>
      </c>
      <c r="AA37" s="27">
        <f t="shared" si="5"/>
        <v>8.2882409804061023E-3</v>
      </c>
      <c r="AB37" s="42">
        <f t="shared" si="28"/>
        <v>0.26936783186319818</v>
      </c>
      <c r="AC37" s="1"/>
      <c r="AD37" s="1"/>
      <c r="AE37" s="28">
        <v>16</v>
      </c>
      <c r="AF37" s="27">
        <v>300</v>
      </c>
      <c r="AG37" s="37">
        <f t="shared" si="14"/>
        <v>0.5</v>
      </c>
      <c r="AH37" s="43">
        <f>Cp_Rocks!$P$28</f>
        <v>834.61495385054593</v>
      </c>
      <c r="AI37" s="44">
        <v>2800000000000</v>
      </c>
      <c r="AJ37" s="44">
        <f t="shared" ref="AJ37:AJ45" si="34">AF37*AG37*AH37*AI37</f>
        <v>3.5053828061722931E+17</v>
      </c>
      <c r="AK37" s="27">
        <v>11145</v>
      </c>
      <c r="AL37" s="44">
        <f t="shared" si="15"/>
        <v>3.9067491374790208E+21</v>
      </c>
      <c r="AM37" s="27">
        <v>46.9</v>
      </c>
      <c r="AN37" s="44">
        <f t="shared" si="16"/>
        <v>1.8322653454776606E+23</v>
      </c>
      <c r="AO37" s="27">
        <f t="shared" si="17"/>
        <v>5810075296.4157171</v>
      </c>
      <c r="AP37" s="27">
        <f t="shared" si="18"/>
        <v>5.8100752964157171E-3</v>
      </c>
      <c r="AQ37" s="42">
        <f t="shared" si="30"/>
        <v>0.18882744713351093</v>
      </c>
      <c r="AR37" s="1"/>
      <c r="AS37" s="28">
        <v>16</v>
      </c>
      <c r="AT37" s="27">
        <v>300</v>
      </c>
      <c r="AU37" s="37">
        <f t="shared" si="19"/>
        <v>0.5</v>
      </c>
      <c r="AV37" s="43">
        <f>Cp_Rocks!$P$28</f>
        <v>834.61495385054593</v>
      </c>
      <c r="AW37" s="44">
        <v>2800000000000</v>
      </c>
      <c r="AX37" s="44">
        <f t="shared" ref="AX37:AX45" si="35">AT37*AU37*AV37*AW37</f>
        <v>3.5053828061722931E+17</v>
      </c>
      <c r="AY37" s="27">
        <v>21700</v>
      </c>
      <c r="AZ37" s="44">
        <f t="shared" si="20"/>
        <v>7.6066806893938758E+21</v>
      </c>
      <c r="BA37" s="37">
        <v>12.573265651438241</v>
      </c>
      <c r="BB37" s="44">
        <f t="shared" si="21"/>
        <v>9.5640817033414579E+22</v>
      </c>
      <c r="BC37" s="27">
        <f t="shared" si="22"/>
        <v>3032750413.2868652</v>
      </c>
      <c r="BD37" s="27">
        <f t="shared" si="23"/>
        <v>3.0327504132868651E-3</v>
      </c>
      <c r="BE37" s="42">
        <f t="shared" si="31"/>
        <v>9.856438843182308E-2</v>
      </c>
    </row>
    <row r="38" spans="1:57" x14ac:dyDescent="0.3">
      <c r="A38" s="1"/>
      <c r="B38" s="28">
        <v>16.5</v>
      </c>
      <c r="C38" s="27">
        <v>300</v>
      </c>
      <c r="D38" s="37">
        <f t="shared" ref="D38:D44" si="36">B39-B38</f>
        <v>0.5</v>
      </c>
      <c r="E38" s="43">
        <f>Cp_Rocks!$P$28</f>
        <v>834.61495385054593</v>
      </c>
      <c r="F38" s="44">
        <v>2800000000000</v>
      </c>
      <c r="G38" s="44">
        <f t="shared" si="32"/>
        <v>3.5053828061722931E+17</v>
      </c>
      <c r="H38" s="27">
        <v>22723</v>
      </c>
      <c r="I38" s="44">
        <f t="shared" si="9"/>
        <v>7.9652813504653013E+21</v>
      </c>
      <c r="J38" s="27">
        <v>83.5</v>
      </c>
      <c r="K38" s="44">
        <f t="shared" si="10"/>
        <v>6.6510099276385265E+23</v>
      </c>
      <c r="L38" s="27">
        <f t="shared" si="11"/>
        <v>21090214128.737083</v>
      </c>
      <c r="M38" s="27">
        <f t="shared" si="12"/>
        <v>2.1090214128737083E-2</v>
      </c>
      <c r="N38" s="42">
        <f t="shared" si="29"/>
        <v>0.70652217331269251</v>
      </c>
      <c r="O38" s="1"/>
      <c r="P38" s="28">
        <v>16.5</v>
      </c>
      <c r="Q38" s="27">
        <v>300</v>
      </c>
      <c r="R38" s="37">
        <f t="shared" ref="R38:R44" si="37">P39-P38</f>
        <v>0.5</v>
      </c>
      <c r="S38" s="43">
        <f>Cp_Rocks!$P$28</f>
        <v>834.61495385054593</v>
      </c>
      <c r="T38" s="44">
        <v>3000000000000</v>
      </c>
      <c r="U38" s="44">
        <f t="shared" si="33"/>
        <v>3.7557672923274566E+17</v>
      </c>
      <c r="V38" s="27">
        <v>37416</v>
      </c>
      <c r="W38" s="44">
        <f t="shared" si="2"/>
        <v>1.4052578900972411E+22</v>
      </c>
      <c r="X38" s="27">
        <v>18.600000000000001</v>
      </c>
      <c r="Y38" s="44">
        <f t="shared" si="3"/>
        <v>2.6137796755808686E+23</v>
      </c>
      <c r="Z38" s="27">
        <f t="shared" si="4"/>
        <v>8288240980.4061031</v>
      </c>
      <c r="AA38" s="27">
        <f t="shared" si="5"/>
        <v>8.2882409804061023E-3</v>
      </c>
      <c r="AB38" s="42">
        <f t="shared" si="28"/>
        <v>0.27765607284360427</v>
      </c>
      <c r="AC38" s="1"/>
      <c r="AD38" s="1"/>
      <c r="AE38" s="28">
        <v>16.5</v>
      </c>
      <c r="AF38" s="27">
        <v>300</v>
      </c>
      <c r="AG38" s="37">
        <f t="shared" ref="AG38:AG44" si="38">AE39-AE38</f>
        <v>0.5</v>
      </c>
      <c r="AH38" s="43">
        <f>Cp_Rocks!$P$28</f>
        <v>834.61495385054593</v>
      </c>
      <c r="AI38" s="44">
        <v>2800000000000</v>
      </c>
      <c r="AJ38" s="44">
        <f t="shared" si="34"/>
        <v>3.5053828061722931E+17</v>
      </c>
      <c r="AK38" s="27">
        <v>11145</v>
      </c>
      <c r="AL38" s="44">
        <f t="shared" si="15"/>
        <v>3.9067491374790208E+21</v>
      </c>
      <c r="AM38" s="27">
        <v>46.9</v>
      </c>
      <c r="AN38" s="44">
        <f t="shared" si="16"/>
        <v>1.8322653454776606E+23</v>
      </c>
      <c r="AO38" s="27">
        <f t="shared" si="17"/>
        <v>5810075296.4157171</v>
      </c>
      <c r="AP38" s="27">
        <f t="shared" si="18"/>
        <v>5.8100752964157171E-3</v>
      </c>
      <c r="AQ38" s="42">
        <f t="shared" si="30"/>
        <v>0.19463752242992666</v>
      </c>
      <c r="AR38" s="1"/>
      <c r="AS38" s="28">
        <v>16.5</v>
      </c>
      <c r="AT38" s="27">
        <v>300</v>
      </c>
      <c r="AU38" s="37">
        <f t="shared" ref="AU38:AU45" si="39">AS39-AS38</f>
        <v>0.5</v>
      </c>
      <c r="AV38" s="43">
        <f>Cp_Rocks!$P$28</f>
        <v>834.61495385054593</v>
      </c>
      <c r="AW38" s="44">
        <v>2800000000000</v>
      </c>
      <c r="AX38" s="44">
        <f t="shared" si="35"/>
        <v>3.5053828061722931E+17</v>
      </c>
      <c r="AY38" s="27">
        <v>21700</v>
      </c>
      <c r="AZ38" s="44">
        <f t="shared" si="20"/>
        <v>7.6066806893938758E+21</v>
      </c>
      <c r="BA38" s="37">
        <v>12.573265651438241</v>
      </c>
      <c r="BB38" s="44">
        <f t="shared" si="21"/>
        <v>9.5640817033414579E+22</v>
      </c>
      <c r="BC38" s="27">
        <f t="shared" si="22"/>
        <v>3032750413.2868652</v>
      </c>
      <c r="BD38" s="27">
        <f t="shared" si="23"/>
        <v>3.0327504132868651E-3</v>
      </c>
      <c r="BE38" s="42">
        <f t="shared" si="31"/>
        <v>0.10159713884510994</v>
      </c>
    </row>
    <row r="39" spans="1:57" x14ac:dyDescent="0.3">
      <c r="A39" s="1"/>
      <c r="B39" s="28">
        <v>17</v>
      </c>
      <c r="C39" s="27">
        <v>300</v>
      </c>
      <c r="D39" s="37">
        <f t="shared" si="36"/>
        <v>0.5</v>
      </c>
      <c r="E39" s="43">
        <f>Cp_Rocks!$P$28</f>
        <v>834.61495385054593</v>
      </c>
      <c r="F39" s="44">
        <v>2800000000000</v>
      </c>
      <c r="G39" s="44">
        <f t="shared" si="32"/>
        <v>3.5053828061722931E+17</v>
      </c>
      <c r="H39" s="27">
        <v>22723</v>
      </c>
      <c r="I39" s="44">
        <f t="shared" si="9"/>
        <v>7.9652813504653013E+21</v>
      </c>
      <c r="J39" s="27">
        <v>83.5</v>
      </c>
      <c r="K39" s="44">
        <f t="shared" si="10"/>
        <v>6.6510099276385265E+23</v>
      </c>
      <c r="L39" s="27">
        <f t="shared" si="11"/>
        <v>21090214128.737083</v>
      </c>
      <c r="M39" s="27">
        <f t="shared" si="12"/>
        <v>2.1090214128737083E-2</v>
      </c>
      <c r="N39" s="42">
        <f t="shared" si="29"/>
        <v>0.72761238744142964</v>
      </c>
      <c r="O39" s="1"/>
      <c r="P39" s="28">
        <v>17</v>
      </c>
      <c r="Q39" s="27">
        <v>300</v>
      </c>
      <c r="R39" s="37">
        <f t="shared" si="37"/>
        <v>0.5</v>
      </c>
      <c r="S39" s="43">
        <f>Cp_Rocks!$P$28</f>
        <v>834.61495385054593</v>
      </c>
      <c r="T39" s="44">
        <v>3000000000000</v>
      </c>
      <c r="U39" s="44">
        <f t="shared" si="33"/>
        <v>3.7557672923274566E+17</v>
      </c>
      <c r="V39" s="27">
        <v>37416</v>
      </c>
      <c r="W39" s="44">
        <f t="shared" si="2"/>
        <v>1.4052578900972411E+22</v>
      </c>
      <c r="X39" s="27">
        <v>18.600000000000001</v>
      </c>
      <c r="Y39" s="44">
        <f t="shared" si="3"/>
        <v>2.6137796755808686E+23</v>
      </c>
      <c r="Z39" s="27">
        <f t="shared" si="4"/>
        <v>8288240980.4061031</v>
      </c>
      <c r="AA39" s="27">
        <f t="shared" si="5"/>
        <v>8.2882409804061023E-3</v>
      </c>
      <c r="AB39" s="42">
        <f t="shared" si="28"/>
        <v>0.28594431382401037</v>
      </c>
      <c r="AC39" s="1"/>
      <c r="AD39" s="1"/>
      <c r="AE39" s="28">
        <v>17</v>
      </c>
      <c r="AF39" s="27">
        <v>300</v>
      </c>
      <c r="AG39" s="37">
        <f t="shared" si="38"/>
        <v>0.5</v>
      </c>
      <c r="AH39" s="43">
        <f>Cp_Rocks!$P$28</f>
        <v>834.61495385054593</v>
      </c>
      <c r="AI39" s="44">
        <v>2800000000000</v>
      </c>
      <c r="AJ39" s="44">
        <f t="shared" si="34"/>
        <v>3.5053828061722931E+17</v>
      </c>
      <c r="AK39" s="27">
        <v>11145</v>
      </c>
      <c r="AL39" s="44">
        <f t="shared" si="15"/>
        <v>3.9067491374790208E+21</v>
      </c>
      <c r="AM39" s="27">
        <v>46.9</v>
      </c>
      <c r="AN39" s="44">
        <f t="shared" si="16"/>
        <v>1.8322653454776606E+23</v>
      </c>
      <c r="AO39" s="27">
        <f t="shared" si="17"/>
        <v>5810075296.4157171</v>
      </c>
      <c r="AP39" s="27">
        <f t="shared" si="18"/>
        <v>5.8100752964157171E-3</v>
      </c>
      <c r="AQ39" s="42">
        <f t="shared" si="30"/>
        <v>0.20044759772634238</v>
      </c>
      <c r="AR39" s="1"/>
      <c r="AS39" s="28">
        <v>17</v>
      </c>
      <c r="AT39" s="27">
        <v>300</v>
      </c>
      <c r="AU39" s="37">
        <f t="shared" si="39"/>
        <v>0.5</v>
      </c>
      <c r="AV39" s="43">
        <f>Cp_Rocks!$P$28</f>
        <v>834.61495385054593</v>
      </c>
      <c r="AW39" s="44">
        <v>2800000000000</v>
      </c>
      <c r="AX39" s="44">
        <f t="shared" si="35"/>
        <v>3.5053828061722931E+17</v>
      </c>
      <c r="AY39" s="27">
        <v>21700</v>
      </c>
      <c r="AZ39" s="44">
        <f t="shared" si="20"/>
        <v>7.6066806893938758E+21</v>
      </c>
      <c r="BA39" s="37">
        <v>12.573265651438241</v>
      </c>
      <c r="BB39" s="44">
        <f t="shared" si="21"/>
        <v>9.5640817033414579E+22</v>
      </c>
      <c r="BC39" s="27">
        <f t="shared" si="22"/>
        <v>3032750413.2868652</v>
      </c>
      <c r="BD39" s="27">
        <f t="shared" si="23"/>
        <v>3.0327504132868651E-3</v>
      </c>
      <c r="BE39" s="42">
        <f t="shared" si="31"/>
        <v>0.10462988925839681</v>
      </c>
    </row>
    <row r="40" spans="1:57" x14ac:dyDescent="0.3">
      <c r="A40" s="1"/>
      <c r="B40" s="28">
        <v>17.5</v>
      </c>
      <c r="C40" s="27">
        <v>300</v>
      </c>
      <c r="D40" s="37">
        <f t="shared" si="36"/>
        <v>0.5</v>
      </c>
      <c r="E40" s="43">
        <f>Cp_Rocks!$P$28</f>
        <v>834.61495385054593</v>
      </c>
      <c r="F40" s="44">
        <v>2800000000000</v>
      </c>
      <c r="G40" s="44">
        <f t="shared" si="32"/>
        <v>3.5053828061722931E+17</v>
      </c>
      <c r="H40" s="27">
        <v>22723</v>
      </c>
      <c r="I40" s="44">
        <f t="shared" si="9"/>
        <v>7.9652813504653013E+21</v>
      </c>
      <c r="J40" s="27">
        <v>83.5</v>
      </c>
      <c r="K40" s="44">
        <f t="shared" si="10"/>
        <v>6.6510099276385265E+23</v>
      </c>
      <c r="L40" s="27">
        <f t="shared" si="11"/>
        <v>21090214128.737083</v>
      </c>
      <c r="M40" s="27">
        <f t="shared" si="12"/>
        <v>2.1090214128737083E-2</v>
      </c>
      <c r="N40" s="42">
        <f t="shared" si="29"/>
        <v>0.74870260157016677</v>
      </c>
      <c r="O40" s="1"/>
      <c r="P40" s="28">
        <v>17.5</v>
      </c>
      <c r="Q40" s="27">
        <v>300</v>
      </c>
      <c r="R40" s="37">
        <f t="shared" si="37"/>
        <v>0.5</v>
      </c>
      <c r="S40" s="43">
        <f>Cp_Rocks!$P$28</f>
        <v>834.61495385054593</v>
      </c>
      <c r="T40" s="44">
        <v>3000000000000</v>
      </c>
      <c r="U40" s="44">
        <f t="shared" si="33"/>
        <v>3.7557672923274566E+17</v>
      </c>
      <c r="V40" s="27">
        <v>37416</v>
      </c>
      <c r="W40" s="44">
        <f t="shared" si="2"/>
        <v>1.4052578900972411E+22</v>
      </c>
      <c r="X40" s="27">
        <v>18.600000000000001</v>
      </c>
      <c r="Y40" s="44">
        <f t="shared" si="3"/>
        <v>2.6137796755808686E+23</v>
      </c>
      <c r="Z40" s="27">
        <f t="shared" si="4"/>
        <v>8288240980.4061031</v>
      </c>
      <c r="AA40" s="27">
        <f t="shared" si="5"/>
        <v>8.2882409804061023E-3</v>
      </c>
      <c r="AB40" s="42">
        <f t="shared" si="28"/>
        <v>0.29423255480441646</v>
      </c>
      <c r="AC40" s="1"/>
      <c r="AD40" s="1"/>
      <c r="AE40" s="28">
        <v>17.5</v>
      </c>
      <c r="AF40" s="27">
        <v>300</v>
      </c>
      <c r="AG40" s="37">
        <f t="shared" si="38"/>
        <v>0.5</v>
      </c>
      <c r="AH40" s="43">
        <f>Cp_Rocks!$P$28</f>
        <v>834.61495385054593</v>
      </c>
      <c r="AI40" s="44">
        <v>2800000000000</v>
      </c>
      <c r="AJ40" s="44">
        <f t="shared" si="34"/>
        <v>3.5053828061722931E+17</v>
      </c>
      <c r="AK40" s="27">
        <v>11145</v>
      </c>
      <c r="AL40" s="44">
        <f t="shared" si="15"/>
        <v>3.9067491374790208E+21</v>
      </c>
      <c r="AM40" s="27">
        <v>46.9</v>
      </c>
      <c r="AN40" s="44">
        <f t="shared" si="16"/>
        <v>1.8322653454776606E+23</v>
      </c>
      <c r="AO40" s="27">
        <f t="shared" si="17"/>
        <v>5810075296.4157171</v>
      </c>
      <c r="AP40" s="27">
        <f t="shared" si="18"/>
        <v>5.8100752964157171E-3</v>
      </c>
      <c r="AQ40" s="42">
        <f t="shared" si="30"/>
        <v>0.2062576730227581</v>
      </c>
      <c r="AR40" s="1"/>
      <c r="AS40" s="28">
        <v>17.5</v>
      </c>
      <c r="AT40" s="27">
        <v>300</v>
      </c>
      <c r="AU40" s="37">
        <f t="shared" si="39"/>
        <v>0.5</v>
      </c>
      <c r="AV40" s="43">
        <f>Cp_Rocks!$P$28</f>
        <v>834.61495385054593</v>
      </c>
      <c r="AW40" s="44">
        <v>2800000000000</v>
      </c>
      <c r="AX40" s="44">
        <f t="shared" si="35"/>
        <v>3.5053828061722931E+17</v>
      </c>
      <c r="AY40" s="27">
        <v>21700</v>
      </c>
      <c r="AZ40" s="44">
        <f t="shared" si="20"/>
        <v>7.6066806893938758E+21</v>
      </c>
      <c r="BA40" s="37">
        <v>12.573265651438241</v>
      </c>
      <c r="BB40" s="44">
        <f t="shared" si="21"/>
        <v>9.5640817033414579E+22</v>
      </c>
      <c r="BC40" s="27">
        <f t="shared" si="22"/>
        <v>3032750413.2868652</v>
      </c>
      <c r="BD40" s="27">
        <f t="shared" si="23"/>
        <v>3.0327504132868651E-3</v>
      </c>
      <c r="BE40" s="42">
        <f t="shared" si="31"/>
        <v>0.10766263967168367</v>
      </c>
    </row>
    <row r="41" spans="1:57" x14ac:dyDescent="0.3">
      <c r="A41" s="1"/>
      <c r="B41" s="28">
        <v>18</v>
      </c>
      <c r="C41" s="27">
        <v>300</v>
      </c>
      <c r="D41" s="37">
        <f t="shared" si="36"/>
        <v>0.5</v>
      </c>
      <c r="E41" s="43">
        <f>Cp_Rocks!$P$28</f>
        <v>834.61495385054593</v>
      </c>
      <c r="F41" s="44">
        <v>2800000000000</v>
      </c>
      <c r="G41" s="44">
        <f t="shared" si="32"/>
        <v>3.5053828061722931E+17</v>
      </c>
      <c r="H41" s="27">
        <v>22723</v>
      </c>
      <c r="I41" s="44">
        <f t="shared" si="9"/>
        <v>7.9652813504653013E+21</v>
      </c>
      <c r="J41" s="27">
        <v>83.5</v>
      </c>
      <c r="K41" s="44">
        <f t="shared" si="10"/>
        <v>6.6510099276385265E+23</v>
      </c>
      <c r="L41" s="27">
        <f t="shared" si="11"/>
        <v>21090214128.737083</v>
      </c>
      <c r="M41" s="27">
        <f t="shared" si="12"/>
        <v>2.1090214128737083E-2</v>
      </c>
      <c r="N41" s="42">
        <f t="shared" si="29"/>
        <v>0.7697928156989039</v>
      </c>
      <c r="O41" s="1"/>
      <c r="P41" s="28">
        <v>18</v>
      </c>
      <c r="Q41" s="27">
        <v>300</v>
      </c>
      <c r="R41" s="37">
        <f t="shared" si="37"/>
        <v>0.5</v>
      </c>
      <c r="S41" s="43">
        <f>Cp_Rocks!$P$28</f>
        <v>834.61495385054593</v>
      </c>
      <c r="T41" s="44">
        <v>3000000000000</v>
      </c>
      <c r="U41" s="44">
        <f t="shared" si="33"/>
        <v>3.7557672923274566E+17</v>
      </c>
      <c r="V41" s="27">
        <v>37416</v>
      </c>
      <c r="W41" s="44">
        <f t="shared" si="2"/>
        <v>1.4052578900972411E+22</v>
      </c>
      <c r="X41" s="27">
        <v>18.600000000000001</v>
      </c>
      <c r="Y41" s="44">
        <f t="shared" si="3"/>
        <v>2.6137796755808686E+23</v>
      </c>
      <c r="Z41" s="27">
        <f t="shared" si="4"/>
        <v>8288240980.4061031</v>
      </c>
      <c r="AA41" s="27">
        <f t="shared" si="5"/>
        <v>8.2882409804061023E-3</v>
      </c>
      <c r="AB41" s="42">
        <f t="shared" si="28"/>
        <v>0.30252079578482255</v>
      </c>
      <c r="AC41" s="1"/>
      <c r="AD41" s="1"/>
      <c r="AE41" s="28">
        <v>18</v>
      </c>
      <c r="AF41" s="27">
        <v>300</v>
      </c>
      <c r="AG41" s="37">
        <f t="shared" si="38"/>
        <v>0.5</v>
      </c>
      <c r="AH41" s="43">
        <f>Cp_Rocks!$P$28</f>
        <v>834.61495385054593</v>
      </c>
      <c r="AI41" s="44">
        <v>2800000000000</v>
      </c>
      <c r="AJ41" s="44">
        <f t="shared" si="34"/>
        <v>3.5053828061722931E+17</v>
      </c>
      <c r="AK41" s="27">
        <v>11145</v>
      </c>
      <c r="AL41" s="44">
        <f t="shared" si="15"/>
        <v>3.9067491374790208E+21</v>
      </c>
      <c r="AM41" s="27">
        <v>46.9</v>
      </c>
      <c r="AN41" s="44">
        <f t="shared" si="16"/>
        <v>1.8322653454776606E+23</v>
      </c>
      <c r="AO41" s="27">
        <f t="shared" si="17"/>
        <v>5810075296.4157171</v>
      </c>
      <c r="AP41" s="27">
        <f t="shared" si="18"/>
        <v>5.8100752964157171E-3</v>
      </c>
      <c r="AQ41" s="42">
        <f t="shared" si="30"/>
        <v>0.21206774831917383</v>
      </c>
      <c r="AR41" s="1"/>
      <c r="AS41" s="28">
        <v>18</v>
      </c>
      <c r="AT41" s="27">
        <v>300</v>
      </c>
      <c r="AU41" s="37">
        <f t="shared" si="39"/>
        <v>0.5</v>
      </c>
      <c r="AV41" s="43">
        <f>Cp_Rocks!$P$28</f>
        <v>834.61495385054593</v>
      </c>
      <c r="AW41" s="44">
        <v>2800000000000</v>
      </c>
      <c r="AX41" s="44">
        <f t="shared" si="35"/>
        <v>3.5053828061722931E+17</v>
      </c>
      <c r="AY41" s="27">
        <v>21700</v>
      </c>
      <c r="AZ41" s="44">
        <f t="shared" si="20"/>
        <v>7.6066806893938758E+21</v>
      </c>
      <c r="BA41" s="37">
        <v>12.573265651438241</v>
      </c>
      <c r="BB41" s="44">
        <f t="shared" si="21"/>
        <v>9.5640817033414579E+22</v>
      </c>
      <c r="BC41" s="27">
        <f t="shared" si="22"/>
        <v>3032750413.2868652</v>
      </c>
      <c r="BD41" s="27">
        <f t="shared" si="23"/>
        <v>3.0327504132868651E-3</v>
      </c>
      <c r="BE41" s="42">
        <f t="shared" si="31"/>
        <v>0.11069539008497054</v>
      </c>
    </row>
    <row r="42" spans="1:57" x14ac:dyDescent="0.3">
      <c r="A42" s="1"/>
      <c r="B42" s="28">
        <v>18.5</v>
      </c>
      <c r="C42" s="27">
        <v>300</v>
      </c>
      <c r="D42" s="37">
        <f t="shared" si="36"/>
        <v>0.5</v>
      </c>
      <c r="E42" s="43">
        <f>Cp_Rocks!$P$28</f>
        <v>834.61495385054593</v>
      </c>
      <c r="F42" s="44">
        <v>2800000000000</v>
      </c>
      <c r="G42" s="44">
        <f t="shared" si="32"/>
        <v>3.5053828061722931E+17</v>
      </c>
      <c r="H42" s="27">
        <v>22723</v>
      </c>
      <c r="I42" s="44">
        <f t="shared" si="9"/>
        <v>7.9652813504653013E+21</v>
      </c>
      <c r="J42" s="27">
        <v>83.5</v>
      </c>
      <c r="K42" s="44">
        <f t="shared" si="10"/>
        <v>6.6510099276385265E+23</v>
      </c>
      <c r="L42" s="27">
        <f t="shared" si="11"/>
        <v>21090214128.737083</v>
      </c>
      <c r="M42" s="27">
        <f t="shared" si="12"/>
        <v>2.1090214128737083E-2</v>
      </c>
      <c r="N42" s="42">
        <f t="shared" si="29"/>
        <v>0.79088302982764103</v>
      </c>
      <c r="O42" s="1"/>
      <c r="P42" s="28">
        <v>18.5</v>
      </c>
      <c r="Q42" s="27">
        <v>300</v>
      </c>
      <c r="R42" s="37">
        <f t="shared" si="37"/>
        <v>0.5</v>
      </c>
      <c r="S42" s="43">
        <f>Cp_Rocks!$P$28</f>
        <v>834.61495385054593</v>
      </c>
      <c r="T42" s="44">
        <v>3000000000000</v>
      </c>
      <c r="U42" s="44">
        <f t="shared" si="33"/>
        <v>3.7557672923274566E+17</v>
      </c>
      <c r="V42" s="27">
        <v>37416</v>
      </c>
      <c r="W42" s="44">
        <f t="shared" si="2"/>
        <v>1.4052578900972411E+22</v>
      </c>
      <c r="X42" s="27">
        <v>18.600000000000001</v>
      </c>
      <c r="Y42" s="44">
        <f t="shared" si="3"/>
        <v>2.6137796755808686E+23</v>
      </c>
      <c r="Z42" s="27">
        <f t="shared" si="4"/>
        <v>8288240980.4061031</v>
      </c>
      <c r="AA42" s="27">
        <f t="shared" si="5"/>
        <v>8.2882409804061023E-3</v>
      </c>
      <c r="AB42" s="42">
        <f t="shared" si="28"/>
        <v>0.31080903676522864</v>
      </c>
      <c r="AC42" s="1"/>
      <c r="AD42" s="1"/>
      <c r="AE42" s="28">
        <v>18.5</v>
      </c>
      <c r="AF42" s="27">
        <v>300</v>
      </c>
      <c r="AG42" s="37">
        <f t="shared" si="38"/>
        <v>0.5</v>
      </c>
      <c r="AH42" s="43">
        <f>Cp_Rocks!$P$28</f>
        <v>834.61495385054593</v>
      </c>
      <c r="AI42" s="44">
        <v>2800000000000</v>
      </c>
      <c r="AJ42" s="44">
        <f t="shared" si="34"/>
        <v>3.5053828061722931E+17</v>
      </c>
      <c r="AK42" s="27">
        <v>11145</v>
      </c>
      <c r="AL42" s="44">
        <f t="shared" si="15"/>
        <v>3.9067491374790208E+21</v>
      </c>
      <c r="AM42" s="27">
        <v>46.9</v>
      </c>
      <c r="AN42" s="44">
        <f t="shared" si="16"/>
        <v>1.8322653454776606E+23</v>
      </c>
      <c r="AO42" s="27">
        <f t="shared" si="17"/>
        <v>5810075296.4157171</v>
      </c>
      <c r="AP42" s="27">
        <f t="shared" si="18"/>
        <v>5.8100752964157171E-3</v>
      </c>
      <c r="AQ42" s="42">
        <f t="shared" si="30"/>
        <v>0.21787782361558955</v>
      </c>
      <c r="AR42" s="1"/>
      <c r="AS42" s="28">
        <v>18.5</v>
      </c>
      <c r="AT42" s="27">
        <v>300</v>
      </c>
      <c r="AU42" s="37">
        <f t="shared" si="39"/>
        <v>0.5</v>
      </c>
      <c r="AV42" s="43">
        <f>Cp_Rocks!$P$28</f>
        <v>834.61495385054593</v>
      </c>
      <c r="AW42" s="44">
        <v>2800000000000</v>
      </c>
      <c r="AX42" s="44">
        <f t="shared" si="35"/>
        <v>3.5053828061722931E+17</v>
      </c>
      <c r="AY42" s="27">
        <v>21700</v>
      </c>
      <c r="AZ42" s="44">
        <f t="shared" si="20"/>
        <v>7.6066806893938758E+21</v>
      </c>
      <c r="BA42" s="37">
        <v>12.573265651438241</v>
      </c>
      <c r="BB42" s="44">
        <f t="shared" si="21"/>
        <v>9.5640817033414579E+22</v>
      </c>
      <c r="BC42" s="27">
        <f t="shared" si="22"/>
        <v>3032750413.2868652</v>
      </c>
      <c r="BD42" s="27">
        <f t="shared" si="23"/>
        <v>3.0327504132868651E-3</v>
      </c>
      <c r="BE42" s="42">
        <f t="shared" si="31"/>
        <v>0.1137281404982574</v>
      </c>
    </row>
    <row r="43" spans="1:57" x14ac:dyDescent="0.3">
      <c r="A43" s="1"/>
      <c r="B43" s="28">
        <v>19</v>
      </c>
      <c r="C43" s="27">
        <v>300</v>
      </c>
      <c r="D43" s="37">
        <f t="shared" si="36"/>
        <v>0.5</v>
      </c>
      <c r="E43" s="43">
        <f>Cp_Rocks!$P$28</f>
        <v>834.61495385054593</v>
      </c>
      <c r="F43" s="44">
        <v>2800000000000</v>
      </c>
      <c r="G43" s="44">
        <f t="shared" si="32"/>
        <v>3.5053828061722931E+17</v>
      </c>
      <c r="H43" s="27">
        <v>22723</v>
      </c>
      <c r="I43" s="44">
        <f t="shared" si="9"/>
        <v>7.9652813504653013E+21</v>
      </c>
      <c r="J43" s="27">
        <v>83.5</v>
      </c>
      <c r="K43" s="44">
        <f t="shared" si="10"/>
        <v>6.6510099276385265E+23</v>
      </c>
      <c r="L43" s="27">
        <f t="shared" si="11"/>
        <v>21090214128.737083</v>
      </c>
      <c r="M43" s="27">
        <f t="shared" si="12"/>
        <v>2.1090214128737083E-2</v>
      </c>
      <c r="N43" s="42">
        <f t="shared" si="29"/>
        <v>0.81197324395637815</v>
      </c>
      <c r="O43" s="1"/>
      <c r="P43" s="28">
        <v>19</v>
      </c>
      <c r="Q43" s="27">
        <v>300</v>
      </c>
      <c r="R43" s="37">
        <f t="shared" si="37"/>
        <v>0.5</v>
      </c>
      <c r="S43" s="43">
        <f>Cp_Rocks!$P$28</f>
        <v>834.61495385054593</v>
      </c>
      <c r="T43" s="44">
        <v>3000000000000</v>
      </c>
      <c r="U43" s="44">
        <f t="shared" si="33"/>
        <v>3.7557672923274566E+17</v>
      </c>
      <c r="V43" s="27">
        <v>37416</v>
      </c>
      <c r="W43" s="44">
        <f t="shared" si="2"/>
        <v>1.4052578900972411E+22</v>
      </c>
      <c r="X43" s="27">
        <v>18.600000000000001</v>
      </c>
      <c r="Y43" s="44">
        <f t="shared" si="3"/>
        <v>2.6137796755808686E+23</v>
      </c>
      <c r="Z43" s="27">
        <f t="shared" si="4"/>
        <v>8288240980.4061031</v>
      </c>
      <c r="AA43" s="27">
        <f t="shared" si="5"/>
        <v>8.2882409804061023E-3</v>
      </c>
      <c r="AB43" s="42">
        <f t="shared" si="28"/>
        <v>0.31909727774563473</v>
      </c>
      <c r="AC43" s="1"/>
      <c r="AD43" s="1"/>
      <c r="AE43" s="28">
        <v>19</v>
      </c>
      <c r="AF43" s="27">
        <v>300</v>
      </c>
      <c r="AG43" s="37">
        <f t="shared" si="38"/>
        <v>0.5</v>
      </c>
      <c r="AH43" s="43">
        <f>Cp_Rocks!$P$28</f>
        <v>834.61495385054593</v>
      </c>
      <c r="AI43" s="44">
        <v>2800000000000</v>
      </c>
      <c r="AJ43" s="44">
        <f t="shared" si="34"/>
        <v>3.5053828061722931E+17</v>
      </c>
      <c r="AK43" s="27">
        <v>11145</v>
      </c>
      <c r="AL43" s="44">
        <f t="shared" si="15"/>
        <v>3.9067491374790208E+21</v>
      </c>
      <c r="AM43" s="27">
        <v>46.9</v>
      </c>
      <c r="AN43" s="44">
        <f t="shared" si="16"/>
        <v>1.8322653454776606E+23</v>
      </c>
      <c r="AO43" s="27">
        <f t="shared" si="17"/>
        <v>5810075296.4157171</v>
      </c>
      <c r="AP43" s="27">
        <f t="shared" si="18"/>
        <v>5.8100752964157171E-3</v>
      </c>
      <c r="AQ43" s="42">
        <f t="shared" si="30"/>
        <v>0.22368789891200527</v>
      </c>
      <c r="AR43" s="1"/>
      <c r="AS43" s="28">
        <v>19</v>
      </c>
      <c r="AT43" s="27">
        <v>300</v>
      </c>
      <c r="AU43" s="37">
        <f t="shared" si="39"/>
        <v>0.5</v>
      </c>
      <c r="AV43" s="43">
        <f>Cp_Rocks!$P$28</f>
        <v>834.61495385054593</v>
      </c>
      <c r="AW43" s="44">
        <v>2800000000000</v>
      </c>
      <c r="AX43" s="44">
        <f t="shared" si="35"/>
        <v>3.5053828061722931E+17</v>
      </c>
      <c r="AY43" s="27">
        <v>21700</v>
      </c>
      <c r="AZ43" s="44">
        <f t="shared" si="20"/>
        <v>7.6066806893938758E+21</v>
      </c>
      <c r="BA43" s="37">
        <v>12.573265651438241</v>
      </c>
      <c r="BB43" s="44">
        <f t="shared" si="21"/>
        <v>9.5640817033414579E+22</v>
      </c>
      <c r="BC43" s="27">
        <f t="shared" si="22"/>
        <v>3032750413.2868652</v>
      </c>
      <c r="BD43" s="27">
        <f t="shared" si="23"/>
        <v>3.0327504132868651E-3</v>
      </c>
      <c r="BE43" s="42">
        <f t="shared" si="31"/>
        <v>0.11676089091154426</v>
      </c>
    </row>
    <row r="44" spans="1:57" x14ac:dyDescent="0.3">
      <c r="A44" s="1"/>
      <c r="B44" s="28">
        <v>19.5</v>
      </c>
      <c r="C44" s="27">
        <v>300</v>
      </c>
      <c r="D44" s="37">
        <f t="shared" si="36"/>
        <v>0.5</v>
      </c>
      <c r="E44" s="43">
        <f>Cp_Rocks!$P$28</f>
        <v>834.61495385054593</v>
      </c>
      <c r="F44" s="44">
        <v>2800000000000</v>
      </c>
      <c r="G44" s="44">
        <f t="shared" si="32"/>
        <v>3.5053828061722931E+17</v>
      </c>
      <c r="H44" s="27">
        <v>22723</v>
      </c>
      <c r="I44" s="44">
        <f t="shared" si="9"/>
        <v>7.9652813504653013E+21</v>
      </c>
      <c r="J44" s="27">
        <v>83.5</v>
      </c>
      <c r="K44" s="44">
        <f t="shared" si="10"/>
        <v>6.6510099276385265E+23</v>
      </c>
      <c r="L44" s="27">
        <f t="shared" si="11"/>
        <v>21090214128.737083</v>
      </c>
      <c r="M44" s="27">
        <f t="shared" si="12"/>
        <v>2.1090214128737083E-2</v>
      </c>
      <c r="N44" s="42">
        <f t="shared" si="29"/>
        <v>0.83306345808511528</v>
      </c>
      <c r="O44" s="1"/>
      <c r="P44" s="28">
        <v>19.5</v>
      </c>
      <c r="Q44" s="27">
        <v>300</v>
      </c>
      <c r="R44" s="37">
        <f t="shared" si="37"/>
        <v>0.5</v>
      </c>
      <c r="S44" s="43">
        <f>Cp_Rocks!$P$28</f>
        <v>834.61495385054593</v>
      </c>
      <c r="T44" s="44">
        <v>3000000000000</v>
      </c>
      <c r="U44" s="44">
        <f t="shared" si="33"/>
        <v>3.7557672923274566E+17</v>
      </c>
      <c r="V44" s="27">
        <v>37416</v>
      </c>
      <c r="W44" s="44">
        <f t="shared" si="2"/>
        <v>1.4052578900972411E+22</v>
      </c>
      <c r="X44" s="27">
        <v>18.600000000000001</v>
      </c>
      <c r="Y44" s="44">
        <f t="shared" si="3"/>
        <v>2.6137796755808686E+23</v>
      </c>
      <c r="Z44" s="27">
        <f t="shared" si="4"/>
        <v>8288240980.4061031</v>
      </c>
      <c r="AA44" s="27">
        <f t="shared" si="5"/>
        <v>8.2882409804061023E-3</v>
      </c>
      <c r="AB44" s="42">
        <f t="shared" si="28"/>
        <v>0.32738551872604083</v>
      </c>
      <c r="AC44" s="1"/>
      <c r="AD44" s="1"/>
      <c r="AE44" s="28">
        <v>19.5</v>
      </c>
      <c r="AF44" s="27">
        <v>300</v>
      </c>
      <c r="AG44" s="37">
        <f t="shared" si="38"/>
        <v>0.5</v>
      </c>
      <c r="AH44" s="43">
        <f>Cp_Rocks!$P$28</f>
        <v>834.61495385054593</v>
      </c>
      <c r="AI44" s="44">
        <v>2800000000000</v>
      </c>
      <c r="AJ44" s="44">
        <f t="shared" si="34"/>
        <v>3.5053828061722931E+17</v>
      </c>
      <c r="AK44" s="27">
        <v>11145</v>
      </c>
      <c r="AL44" s="44">
        <f t="shared" si="15"/>
        <v>3.9067491374790208E+21</v>
      </c>
      <c r="AM44" s="27">
        <v>46.9</v>
      </c>
      <c r="AN44" s="44">
        <f t="shared" si="16"/>
        <v>1.8322653454776606E+23</v>
      </c>
      <c r="AO44" s="27">
        <f t="shared" si="17"/>
        <v>5810075296.4157171</v>
      </c>
      <c r="AP44" s="27">
        <f t="shared" si="18"/>
        <v>5.8100752964157171E-3</v>
      </c>
      <c r="AQ44" s="42">
        <f t="shared" si="30"/>
        <v>0.229497974208421</v>
      </c>
      <c r="AR44" s="1"/>
      <c r="AS44" s="28">
        <v>19.5</v>
      </c>
      <c r="AT44" s="27">
        <v>300</v>
      </c>
      <c r="AU44" s="37">
        <f t="shared" si="39"/>
        <v>0.5</v>
      </c>
      <c r="AV44" s="43">
        <f>Cp_Rocks!$P$28</f>
        <v>834.61495385054593</v>
      </c>
      <c r="AW44" s="44">
        <v>2800000000000</v>
      </c>
      <c r="AX44" s="44">
        <f t="shared" si="35"/>
        <v>3.5053828061722931E+17</v>
      </c>
      <c r="AY44" s="27">
        <v>21700</v>
      </c>
      <c r="AZ44" s="44">
        <f t="shared" si="20"/>
        <v>7.6066806893938758E+21</v>
      </c>
      <c r="BA44" s="37">
        <v>12.573265651438241</v>
      </c>
      <c r="BB44" s="44">
        <f t="shared" si="21"/>
        <v>9.5640817033414579E+22</v>
      </c>
      <c r="BC44" s="27">
        <f t="shared" si="22"/>
        <v>3032750413.2868652</v>
      </c>
      <c r="BD44" s="27">
        <f t="shared" si="23"/>
        <v>3.0327504132868651E-3</v>
      </c>
      <c r="BE44" s="42">
        <f t="shared" si="31"/>
        <v>0.11979364132483113</v>
      </c>
    </row>
    <row r="45" spans="1:57" ht="15" thickBot="1" x14ac:dyDescent="0.35">
      <c r="A45" s="1"/>
      <c r="B45" s="29">
        <v>20</v>
      </c>
      <c r="C45" s="30">
        <v>300</v>
      </c>
      <c r="D45" s="39">
        <f>B45-B44</f>
        <v>0.5</v>
      </c>
      <c r="E45" s="45">
        <f>Cp_Rocks!$P$28</f>
        <v>834.61495385054593</v>
      </c>
      <c r="F45" s="46">
        <v>2800000000000</v>
      </c>
      <c r="G45" s="46">
        <f t="shared" si="32"/>
        <v>3.5053828061722931E+17</v>
      </c>
      <c r="H45" s="30">
        <v>22723</v>
      </c>
      <c r="I45" s="46">
        <f t="shared" si="9"/>
        <v>7.9652813504653013E+21</v>
      </c>
      <c r="J45" s="30">
        <v>83.5</v>
      </c>
      <c r="K45" s="46">
        <f t="shared" si="10"/>
        <v>6.6510099276385265E+23</v>
      </c>
      <c r="L45" s="30">
        <f t="shared" si="11"/>
        <v>21090214128.737083</v>
      </c>
      <c r="M45" s="30">
        <f t="shared" si="12"/>
        <v>2.1090214128737083E-2</v>
      </c>
      <c r="N45" s="47">
        <f t="shared" si="29"/>
        <v>0.85415367221385241</v>
      </c>
      <c r="O45" s="1"/>
      <c r="P45" s="29">
        <v>20</v>
      </c>
      <c r="Q45" s="30">
        <v>300</v>
      </c>
      <c r="R45" s="39">
        <f>P45-P44</f>
        <v>0.5</v>
      </c>
      <c r="S45" s="45">
        <f>Cp_Rocks!$P$28</f>
        <v>834.61495385054593</v>
      </c>
      <c r="T45" s="46">
        <v>3000000000000</v>
      </c>
      <c r="U45" s="46">
        <f t="shared" si="33"/>
        <v>3.7557672923274566E+17</v>
      </c>
      <c r="V45" s="30">
        <v>37416</v>
      </c>
      <c r="W45" s="46">
        <f t="shared" si="2"/>
        <v>1.4052578900972411E+22</v>
      </c>
      <c r="X45" s="30">
        <v>18.600000000000001</v>
      </c>
      <c r="Y45" s="46">
        <f t="shared" si="3"/>
        <v>2.6137796755808686E+23</v>
      </c>
      <c r="Z45" s="30">
        <f t="shared" si="4"/>
        <v>8288240980.4061031</v>
      </c>
      <c r="AA45" s="30">
        <f t="shared" si="5"/>
        <v>8.2882409804061023E-3</v>
      </c>
      <c r="AB45" s="47">
        <f t="shared" si="28"/>
        <v>0.33567375970644692</v>
      </c>
      <c r="AC45" s="1"/>
      <c r="AD45" s="1"/>
      <c r="AE45" s="29">
        <v>20</v>
      </c>
      <c r="AF45" s="30">
        <v>300</v>
      </c>
      <c r="AG45" s="39">
        <f>AE45-AE44</f>
        <v>0.5</v>
      </c>
      <c r="AH45" s="45">
        <f>Cp_Rocks!$P$28</f>
        <v>834.61495385054593</v>
      </c>
      <c r="AI45" s="46">
        <v>2800000000000</v>
      </c>
      <c r="AJ45" s="46">
        <f t="shared" si="34"/>
        <v>3.5053828061722931E+17</v>
      </c>
      <c r="AK45" s="30">
        <v>11145</v>
      </c>
      <c r="AL45" s="46">
        <f t="shared" si="15"/>
        <v>3.9067491374790208E+21</v>
      </c>
      <c r="AM45" s="30">
        <v>46.9</v>
      </c>
      <c r="AN45" s="46">
        <f t="shared" si="16"/>
        <v>1.8322653454776606E+23</v>
      </c>
      <c r="AO45" s="30">
        <f t="shared" si="17"/>
        <v>5810075296.4157171</v>
      </c>
      <c r="AP45" s="30">
        <f t="shared" si="18"/>
        <v>5.8100752964157171E-3</v>
      </c>
      <c r="AQ45" s="47">
        <f t="shared" si="30"/>
        <v>0.23530804950483672</v>
      </c>
      <c r="AR45" s="1"/>
      <c r="AS45" s="29">
        <v>20</v>
      </c>
      <c r="AT45" s="30">
        <v>300</v>
      </c>
      <c r="AU45" s="39">
        <f t="shared" si="39"/>
        <v>-20</v>
      </c>
      <c r="AV45" s="45">
        <f>Cp_Rocks!$P$28</f>
        <v>834.61495385054593</v>
      </c>
      <c r="AW45" s="46">
        <v>2800000000000</v>
      </c>
      <c r="AX45" s="46">
        <f t="shared" si="35"/>
        <v>-1.4021531224689172E+19</v>
      </c>
      <c r="AY45" s="30">
        <v>21700</v>
      </c>
      <c r="AZ45" s="46">
        <f t="shared" si="20"/>
        <v>-3.0426722757575507E+23</v>
      </c>
      <c r="BA45" s="39">
        <v>12.573265651438241</v>
      </c>
      <c r="BB45" s="46">
        <f t="shared" si="21"/>
        <v>-3.8256326813365836E+24</v>
      </c>
      <c r="BC45" s="30">
        <f t="shared" si="22"/>
        <v>-121310016531.47462</v>
      </c>
      <c r="BD45" s="30">
        <f t="shared" si="23"/>
        <v>-0.12131001653147462</v>
      </c>
      <c r="BE45" s="47">
        <f t="shared" si="31"/>
        <v>-1.5163752066434943E-3</v>
      </c>
    </row>
    <row r="46" spans="1:57" x14ac:dyDescent="0.3">
      <c r="B46" s="5"/>
      <c r="C46" s="1"/>
      <c r="D46" s="2"/>
      <c r="E46" s="7"/>
      <c r="F46" s="3"/>
      <c r="G46" s="3"/>
      <c r="H46" s="1"/>
      <c r="I46" s="3"/>
      <c r="J46" s="1"/>
      <c r="K46" s="3"/>
      <c r="P46" s="5"/>
      <c r="Q46" s="1"/>
      <c r="R46" s="2"/>
      <c r="T46" s="3"/>
      <c r="U46" s="3"/>
      <c r="V46" s="1"/>
      <c r="W46" s="3"/>
      <c r="X46" s="1"/>
      <c r="Y46" s="3"/>
      <c r="AE46" s="5"/>
      <c r="AF46" s="1"/>
      <c r="AG46" s="2"/>
      <c r="AI46" s="3"/>
      <c r="AJ46" s="3"/>
      <c r="AK46" s="1"/>
      <c r="AL46" s="3"/>
      <c r="AM46" s="1"/>
      <c r="AN46" s="3"/>
      <c r="AS46" s="5"/>
      <c r="AT46" s="1"/>
      <c r="AU46" s="2"/>
      <c r="AW46" s="3"/>
      <c r="AX46" s="3"/>
      <c r="AY46" s="1"/>
      <c r="AZ46" s="3"/>
      <c r="BA46" s="5"/>
      <c r="BB46" s="3"/>
    </row>
    <row r="47" spans="1:57" x14ac:dyDescent="0.3">
      <c r="B47" s="12" t="s">
        <v>93</v>
      </c>
      <c r="C47" s="12"/>
      <c r="D47" s="12"/>
      <c r="F47" s="12">
        <v>5.22</v>
      </c>
      <c r="G47" s="12" t="s">
        <v>97</v>
      </c>
      <c r="H47" s="36">
        <f>N15+(N15-N15)*0.2</f>
        <v>0.22144724835173935</v>
      </c>
      <c r="I47" s="12" t="s">
        <v>26</v>
      </c>
      <c r="J47" s="1"/>
      <c r="K47" s="3"/>
      <c r="P47" s="12" t="s">
        <v>93</v>
      </c>
      <c r="Q47" s="12"/>
      <c r="R47" s="12"/>
      <c r="T47" s="12">
        <v>7.2</v>
      </c>
      <c r="U47" s="12" t="s">
        <v>97</v>
      </c>
      <c r="V47" s="36">
        <f>(AB19+AB19)/2</f>
        <v>0.12017949421588851</v>
      </c>
      <c r="W47" s="12" t="s">
        <v>26</v>
      </c>
      <c r="X47" s="3"/>
      <c r="Y47" s="1"/>
      <c r="Z47" s="3"/>
      <c r="AE47" s="12" t="s">
        <v>93</v>
      </c>
      <c r="AF47" s="12"/>
      <c r="AG47" s="12"/>
      <c r="AI47" s="12">
        <v>5.4</v>
      </c>
      <c r="AJ47" s="12" t="s">
        <v>97</v>
      </c>
      <c r="AK47" s="36">
        <f>AQ15+(AQ16-AQ15)*(0.15/0.5)</f>
        <v>6.2748813201289735E-2</v>
      </c>
      <c r="AL47" s="12" t="s">
        <v>26</v>
      </c>
      <c r="AM47" s="1"/>
      <c r="AN47" s="3"/>
      <c r="AS47" s="12" t="s">
        <v>93</v>
      </c>
      <c r="AT47" s="12"/>
      <c r="AU47" s="12"/>
      <c r="AW47" s="12">
        <v>12</v>
      </c>
      <c r="AX47" s="12" t="s">
        <v>97</v>
      </c>
      <c r="AY47" s="36">
        <f>(BE28+BE29)/2</f>
        <v>7.2786009918884731E-2</v>
      </c>
      <c r="AZ47" s="12" t="s">
        <v>26</v>
      </c>
      <c r="BA47" s="5"/>
      <c r="BB47" s="3"/>
    </row>
    <row r="48" spans="1:57" x14ac:dyDescent="0.3">
      <c r="B48" s="5"/>
      <c r="C48" s="1"/>
      <c r="D48" s="2"/>
      <c r="E48" s="7"/>
      <c r="F48" s="3"/>
      <c r="G48" s="3"/>
      <c r="H48" s="1"/>
      <c r="I48" s="3"/>
      <c r="J48" s="1"/>
      <c r="K48" s="3"/>
      <c r="Q48" s="5"/>
      <c r="R48" s="1"/>
      <c r="S48" s="2"/>
      <c r="U48" s="3"/>
      <c r="V48" s="3"/>
      <c r="W48" s="1"/>
      <c r="X48" s="3"/>
      <c r="Y48" s="1"/>
      <c r="Z48" s="3"/>
      <c r="AE48" s="5"/>
      <c r="AF48" s="1"/>
      <c r="AG48" s="2"/>
      <c r="AI48" s="3"/>
      <c r="AJ48" s="3"/>
      <c r="AK48" s="1"/>
      <c r="AL48" s="3"/>
      <c r="AM48" s="1"/>
      <c r="AN48" s="3"/>
      <c r="AS48" s="5"/>
      <c r="AT48" s="1"/>
      <c r="AU48" s="2"/>
      <c r="AW48" s="3"/>
      <c r="AX48" s="3"/>
      <c r="AY48" s="1"/>
      <c r="AZ48" s="3"/>
      <c r="BA48" s="5"/>
      <c r="BB48" s="3"/>
    </row>
    <row r="49" spans="2:54" x14ac:dyDescent="0.3">
      <c r="B49" s="5"/>
      <c r="C49" s="1"/>
      <c r="D49" s="2"/>
      <c r="E49" s="7"/>
      <c r="F49" s="3"/>
      <c r="G49" s="3"/>
      <c r="H49" s="1"/>
      <c r="I49" s="3"/>
      <c r="J49" s="1"/>
      <c r="K49" s="3"/>
      <c r="Q49" s="5"/>
      <c r="R49" s="1"/>
      <c r="S49" s="2"/>
      <c r="U49" s="3"/>
      <c r="V49" s="3"/>
      <c r="W49" s="1"/>
      <c r="X49" s="3"/>
      <c r="Y49" s="1"/>
      <c r="Z49" s="3"/>
      <c r="AE49" s="5"/>
      <c r="AF49" s="1"/>
      <c r="AG49" s="2"/>
      <c r="AI49" s="3"/>
      <c r="AJ49" s="3"/>
      <c r="AK49" s="1"/>
      <c r="AL49" s="3"/>
      <c r="AM49" s="1"/>
      <c r="AN49" s="3"/>
      <c r="AS49" s="5"/>
      <c r="AT49" s="1"/>
      <c r="AU49" s="2"/>
      <c r="AW49" s="3"/>
      <c r="AX49" s="3"/>
      <c r="AY49" s="1"/>
      <c r="AZ49" s="3"/>
      <c r="BA49" s="5"/>
      <c r="BB49" s="3"/>
    </row>
    <row r="50" spans="2:54" x14ac:dyDescent="0.3">
      <c r="B50" s="5"/>
      <c r="C50" s="1"/>
      <c r="D50" s="2"/>
      <c r="E50" s="7"/>
      <c r="F50" s="3"/>
      <c r="G50" s="3"/>
      <c r="H50" s="1"/>
      <c r="I50" s="3"/>
      <c r="J50" s="1"/>
      <c r="K50" s="3"/>
      <c r="Q50" s="5"/>
      <c r="R50" s="1"/>
      <c r="S50" s="2"/>
      <c r="U50" s="3"/>
      <c r="V50" s="3"/>
      <c r="W50" s="1"/>
      <c r="X50" s="3"/>
      <c r="Y50" s="1"/>
      <c r="Z50" s="3"/>
      <c r="AE50" s="5"/>
      <c r="AF50" s="1"/>
      <c r="AG50" s="2"/>
      <c r="AI50" s="3"/>
      <c r="AJ50" s="3"/>
      <c r="AK50" s="1"/>
      <c r="AL50" s="3"/>
      <c r="AM50" s="1"/>
      <c r="AN50" s="3"/>
      <c r="AS50" s="5"/>
      <c r="AT50" s="1"/>
      <c r="AU50" s="2"/>
      <c r="AW50" s="3"/>
      <c r="AX50" s="3"/>
      <c r="AY50" s="1"/>
      <c r="AZ50" s="3"/>
      <c r="BA50" s="5"/>
      <c r="BB50" s="3"/>
    </row>
    <row r="51" spans="2:54" x14ac:dyDescent="0.3">
      <c r="B51" s="5"/>
      <c r="C51" s="1"/>
      <c r="D51" s="2"/>
      <c r="E51" s="7"/>
      <c r="F51" s="3"/>
      <c r="G51" s="3"/>
      <c r="H51" s="1"/>
      <c r="I51" s="3"/>
      <c r="J51" s="1"/>
      <c r="K51" s="3"/>
      <c r="Q51" s="5"/>
      <c r="R51" s="1"/>
      <c r="S51" s="2"/>
      <c r="U51" s="3"/>
      <c r="V51" s="3"/>
      <c r="W51" s="1"/>
      <c r="X51" s="3"/>
      <c r="Y51" s="1"/>
      <c r="Z51" s="3"/>
      <c r="AE51" s="5"/>
      <c r="AF51" s="1"/>
      <c r="AG51" s="2"/>
      <c r="AI51" s="3"/>
      <c r="AJ51" s="3"/>
      <c r="AK51" s="1"/>
      <c r="AL51" s="3"/>
      <c r="AM51" s="1"/>
      <c r="AN51" s="3"/>
      <c r="AS51" s="5"/>
      <c r="AT51" s="1"/>
      <c r="AU51" s="2"/>
      <c r="AW51" s="3"/>
      <c r="AX51" s="3"/>
      <c r="AY51" s="1"/>
      <c r="AZ51" s="3"/>
      <c r="BA51" s="5"/>
      <c r="BB51" s="3"/>
    </row>
    <row r="52" spans="2:54" x14ac:dyDescent="0.3">
      <c r="B52" s="5"/>
      <c r="C52" s="1"/>
      <c r="D52" s="2"/>
      <c r="E52" s="7"/>
      <c r="F52" s="3"/>
      <c r="G52" s="3"/>
      <c r="H52" s="1"/>
      <c r="I52" s="3"/>
      <c r="J52" s="1"/>
      <c r="K52" s="3"/>
      <c r="Q52" s="5"/>
      <c r="R52" s="1"/>
      <c r="S52" s="2"/>
      <c r="U52" s="3"/>
      <c r="V52" s="3"/>
      <c r="W52" s="1"/>
      <c r="X52" s="3"/>
      <c r="Y52" s="1"/>
      <c r="Z52" s="3"/>
      <c r="AE52" s="5"/>
      <c r="AF52" s="1"/>
      <c r="AG52" s="2"/>
      <c r="AI52" s="3"/>
      <c r="AJ52" s="3"/>
      <c r="AK52" s="1"/>
      <c r="AL52" s="3"/>
      <c r="AM52" s="1"/>
      <c r="AN52" s="3"/>
      <c r="AS52" s="5"/>
      <c r="AT52" s="1"/>
      <c r="AU52" s="2"/>
      <c r="AW52" s="3"/>
      <c r="AX52" s="3"/>
      <c r="AY52" s="1"/>
      <c r="AZ52" s="3"/>
      <c r="BA52" s="5"/>
      <c r="BB52" s="3"/>
    </row>
    <row r="53" spans="2:54" x14ac:dyDescent="0.3">
      <c r="B53" s="5"/>
      <c r="C53" s="1"/>
      <c r="D53" s="2"/>
      <c r="E53" s="7"/>
      <c r="F53" s="3"/>
      <c r="G53" s="3"/>
      <c r="H53" s="1"/>
      <c r="I53" s="3"/>
      <c r="J53" s="1"/>
      <c r="K53" s="3"/>
      <c r="Q53" s="5"/>
      <c r="R53" s="1"/>
      <c r="S53" s="2"/>
      <c r="U53" s="3"/>
      <c r="V53" s="3"/>
      <c r="W53" s="1"/>
      <c r="X53" s="3"/>
      <c r="Y53" s="1"/>
      <c r="Z53" s="3"/>
      <c r="AE53" s="5"/>
      <c r="AF53" s="1"/>
      <c r="AG53" s="2"/>
      <c r="AI53" s="3"/>
      <c r="AJ53" s="3"/>
      <c r="AK53" s="1"/>
      <c r="AL53" s="3"/>
      <c r="AM53" s="1"/>
      <c r="AN53" s="3"/>
      <c r="AS53" s="5"/>
      <c r="AT53" s="1"/>
      <c r="AU53" s="2"/>
      <c r="AW53" s="3"/>
      <c r="AX53" s="3"/>
      <c r="AY53" s="1"/>
      <c r="AZ53" s="3"/>
      <c r="BA53" s="5"/>
      <c r="BB53" s="3"/>
    </row>
    <row r="54" spans="2:54" x14ac:dyDescent="0.3">
      <c r="B54" s="5"/>
      <c r="C54" s="1"/>
      <c r="D54" s="2"/>
      <c r="E54" s="7"/>
      <c r="F54" s="3"/>
      <c r="G54" s="3"/>
      <c r="H54" s="1"/>
      <c r="I54" s="3"/>
      <c r="J54" s="1"/>
      <c r="K54" s="3"/>
      <c r="Q54" s="5"/>
      <c r="R54" s="1"/>
      <c r="S54" s="2"/>
      <c r="U54" s="3"/>
      <c r="V54" s="3"/>
      <c r="W54" s="1"/>
      <c r="X54" s="3"/>
      <c r="Y54" s="1"/>
      <c r="Z54" s="3"/>
      <c r="AE54" s="5"/>
      <c r="AF54" s="1"/>
      <c r="AG54" s="2"/>
      <c r="AI54" s="3"/>
      <c r="AJ54" s="3"/>
      <c r="AK54" s="1"/>
      <c r="AL54" s="3"/>
      <c r="AM54" s="1"/>
      <c r="AN54" s="3"/>
      <c r="AS54" s="5"/>
      <c r="AT54" s="1"/>
      <c r="AU54" s="2"/>
      <c r="AW54" s="3"/>
      <c r="AX54" s="3"/>
      <c r="AY54" s="1"/>
      <c r="AZ54" s="3"/>
      <c r="BA54" s="5"/>
      <c r="BB54" s="3"/>
    </row>
    <row r="55" spans="2:54" x14ac:dyDescent="0.3">
      <c r="B55" s="5"/>
      <c r="C55" s="1"/>
      <c r="D55" s="2"/>
      <c r="E55" s="7"/>
      <c r="F55" s="3"/>
      <c r="G55" s="3"/>
      <c r="H55" s="1"/>
      <c r="I55" s="3"/>
      <c r="J55" s="1"/>
      <c r="K55" s="3"/>
      <c r="Q55" s="5"/>
      <c r="R55" s="1"/>
      <c r="S55" s="2"/>
      <c r="U55" s="3"/>
      <c r="V55" s="3"/>
      <c r="W55" s="1"/>
      <c r="X55" s="3"/>
      <c r="Y55" s="1"/>
      <c r="Z55" s="3"/>
      <c r="AE55" s="5"/>
      <c r="AF55" s="1"/>
      <c r="AG55" s="2"/>
      <c r="AI55" s="3"/>
      <c r="AJ55" s="3"/>
      <c r="AK55" s="1"/>
      <c r="AL55" s="3"/>
      <c r="AM55" s="1"/>
      <c r="AN55" s="3"/>
      <c r="AS55" s="5"/>
      <c r="AT55" s="1"/>
      <c r="AU55" s="2"/>
      <c r="AW55" s="3"/>
      <c r="AX55" s="3"/>
      <c r="AY55" s="1"/>
      <c r="AZ55" s="3"/>
      <c r="BA55" s="5"/>
      <c r="BB55" s="3"/>
    </row>
    <row r="56" spans="2:54" x14ac:dyDescent="0.3">
      <c r="B56" s="5"/>
      <c r="C56" s="1"/>
      <c r="D56" s="2"/>
      <c r="E56" s="7"/>
      <c r="F56" s="3"/>
      <c r="G56" s="3"/>
      <c r="H56" s="1"/>
      <c r="I56" s="3"/>
      <c r="J56" s="1"/>
      <c r="K56" s="3"/>
      <c r="Q56" s="5"/>
      <c r="R56" s="1"/>
      <c r="S56" s="2"/>
      <c r="U56" s="3"/>
      <c r="V56" s="3"/>
      <c r="W56" s="1"/>
      <c r="X56" s="3"/>
      <c r="Y56" s="1"/>
      <c r="Z56" s="3"/>
      <c r="AE56" s="5"/>
      <c r="AF56" s="1"/>
      <c r="AG56" s="2"/>
      <c r="AI56" s="3"/>
      <c r="AJ56" s="3"/>
      <c r="AK56" s="1"/>
      <c r="AL56" s="3"/>
      <c r="AM56" s="1"/>
      <c r="AN56" s="3"/>
      <c r="AS56" s="5"/>
      <c r="AT56" s="1"/>
      <c r="AU56" s="2"/>
      <c r="AW56" s="3"/>
      <c r="AX56" s="3"/>
      <c r="AY56" s="1"/>
      <c r="AZ56" s="3"/>
      <c r="BA56" s="5"/>
      <c r="BB56" s="3"/>
    </row>
    <row r="57" spans="2:54" x14ac:dyDescent="0.3">
      <c r="B57" s="5"/>
      <c r="C57" s="1"/>
      <c r="D57" s="2"/>
      <c r="E57" s="7"/>
      <c r="F57" s="3"/>
      <c r="G57" s="3"/>
      <c r="H57" s="1"/>
      <c r="I57" s="3"/>
      <c r="J57" s="1"/>
      <c r="K57" s="3"/>
      <c r="Q57" s="5"/>
      <c r="R57" s="1"/>
      <c r="S57" s="2"/>
      <c r="U57" s="3"/>
      <c r="V57" s="3"/>
      <c r="W57" s="1"/>
      <c r="X57" s="3"/>
      <c r="Y57" s="1"/>
      <c r="Z57" s="3"/>
      <c r="AE57" s="5"/>
      <c r="AF57" s="1"/>
      <c r="AG57" s="2"/>
      <c r="AI57" s="3"/>
      <c r="AJ57" s="3"/>
      <c r="AK57" s="1"/>
      <c r="AL57" s="3"/>
      <c r="AM57" s="1"/>
      <c r="AN57" s="3"/>
      <c r="AS57" s="5"/>
      <c r="AT57" s="1"/>
      <c r="AU57" s="2"/>
      <c r="AW57" s="3"/>
      <c r="AX57" s="3"/>
      <c r="AY57" s="1"/>
      <c r="AZ57" s="3"/>
      <c r="BA57" s="5"/>
      <c r="BB57" s="3"/>
    </row>
    <row r="58" spans="2:54" x14ac:dyDescent="0.3">
      <c r="B58" s="5"/>
      <c r="C58" s="1"/>
      <c r="D58" s="2"/>
      <c r="E58" s="7"/>
      <c r="F58" s="3"/>
      <c r="G58" s="3"/>
      <c r="H58" s="1"/>
      <c r="I58" s="3"/>
      <c r="J58" s="1"/>
      <c r="K58" s="3"/>
      <c r="Q58" s="5"/>
      <c r="R58" s="1"/>
      <c r="S58" s="2"/>
      <c r="U58" s="3"/>
      <c r="V58" s="3"/>
      <c r="W58" s="1"/>
      <c r="X58" s="3"/>
      <c r="Y58" s="1"/>
      <c r="Z58" s="3"/>
      <c r="AE58" s="5"/>
      <c r="AF58" s="1"/>
      <c r="AG58" s="2"/>
      <c r="AI58" s="3"/>
      <c r="AJ58" s="3"/>
      <c r="AK58" s="1"/>
      <c r="AL58" s="3"/>
      <c r="AM58" s="1"/>
      <c r="AN58" s="3"/>
      <c r="AS58" s="5"/>
      <c r="AT58" s="1"/>
      <c r="AU58" s="2"/>
      <c r="AW58" s="3"/>
      <c r="AX58" s="3"/>
      <c r="AY58" s="1"/>
      <c r="AZ58" s="3"/>
      <c r="BA58" s="5"/>
      <c r="BB58" s="3"/>
    </row>
    <row r="59" spans="2:54" x14ac:dyDescent="0.3">
      <c r="B59" s="5"/>
      <c r="C59" s="1"/>
      <c r="D59" s="2"/>
      <c r="E59" s="7"/>
      <c r="F59" s="3"/>
      <c r="G59" s="3"/>
      <c r="H59" s="1"/>
      <c r="I59" s="3"/>
      <c r="J59" s="1"/>
      <c r="K59" s="3"/>
      <c r="Q59" s="5"/>
      <c r="R59" s="1"/>
      <c r="S59" s="2"/>
      <c r="U59" s="3"/>
      <c r="V59" s="3"/>
      <c r="W59" s="1"/>
      <c r="X59" s="3"/>
      <c r="Y59" s="1"/>
      <c r="Z59" s="3"/>
      <c r="AE59" s="5"/>
      <c r="AF59" s="1"/>
      <c r="AG59" s="2"/>
      <c r="AI59" s="3"/>
      <c r="AJ59" s="3"/>
      <c r="AK59" s="1"/>
      <c r="AL59" s="3"/>
      <c r="AM59" s="1"/>
      <c r="AN59" s="3"/>
      <c r="AS59" s="5"/>
      <c r="AT59" s="1"/>
      <c r="AU59" s="2"/>
      <c r="AW59" s="3"/>
      <c r="AX59" s="3"/>
      <c r="AY59" s="1"/>
      <c r="AZ59" s="3"/>
      <c r="BA59" s="5"/>
      <c r="BB59" s="3"/>
    </row>
    <row r="60" spans="2:54" x14ac:dyDescent="0.3">
      <c r="B60" s="5"/>
      <c r="C60" s="1"/>
      <c r="D60" s="2"/>
      <c r="E60" s="7"/>
      <c r="F60" s="3"/>
      <c r="G60" s="3"/>
      <c r="H60" s="1"/>
      <c r="I60" s="3"/>
      <c r="J60" s="1"/>
      <c r="K60" s="3"/>
      <c r="Q60" s="5"/>
      <c r="R60" s="1"/>
      <c r="S60" s="2"/>
      <c r="U60" s="3"/>
      <c r="V60" s="3"/>
      <c r="W60" s="1"/>
      <c r="X60" s="3"/>
      <c r="Y60" s="1"/>
      <c r="Z60" s="3"/>
      <c r="AE60" s="5"/>
      <c r="AF60" s="1"/>
      <c r="AG60" s="2"/>
      <c r="AI60" s="3"/>
      <c r="AJ60" s="3"/>
      <c r="AK60" s="1"/>
      <c r="AL60" s="3"/>
      <c r="AM60" s="1"/>
      <c r="AN60" s="3"/>
      <c r="AS60" s="5"/>
      <c r="AT60" s="1"/>
      <c r="AU60" s="2"/>
      <c r="AW60" s="3"/>
      <c r="AX60" s="3"/>
      <c r="AY60" s="1"/>
      <c r="AZ60" s="3"/>
      <c r="BA60" s="5"/>
      <c r="BB60" s="3"/>
    </row>
    <row r="61" spans="2:54" x14ac:dyDescent="0.3">
      <c r="B61" s="5"/>
      <c r="C61" s="1"/>
      <c r="D61" s="2"/>
      <c r="E61" s="7"/>
      <c r="F61" s="3"/>
      <c r="G61" s="3"/>
      <c r="H61" s="1"/>
      <c r="I61" s="3"/>
      <c r="J61" s="1"/>
      <c r="K61" s="3"/>
      <c r="Q61" s="5"/>
      <c r="R61" s="1"/>
      <c r="S61" s="2"/>
      <c r="U61" s="3"/>
      <c r="V61" s="3"/>
      <c r="W61" s="1"/>
      <c r="X61" s="3"/>
      <c r="Y61" s="1"/>
      <c r="Z61" s="3"/>
      <c r="AE61" s="5"/>
      <c r="AF61" s="1"/>
      <c r="AG61" s="2"/>
      <c r="AI61" s="3"/>
      <c r="AJ61" s="3"/>
      <c r="AK61" s="1"/>
      <c r="AL61" s="3"/>
      <c r="AM61" s="1"/>
      <c r="AN61" s="3"/>
      <c r="AS61" s="5"/>
      <c r="AT61" s="1"/>
      <c r="AU61" s="2"/>
      <c r="AW61" s="3"/>
      <c r="AX61" s="3"/>
      <c r="AY61" s="1"/>
      <c r="AZ61" s="3"/>
      <c r="BA61" s="5"/>
      <c r="BB61" s="3"/>
    </row>
    <row r="62" spans="2:54" x14ac:dyDescent="0.3">
      <c r="B62" s="5"/>
      <c r="C62" s="1"/>
      <c r="D62" s="2"/>
      <c r="E62" s="7"/>
      <c r="F62" s="3"/>
      <c r="G62" s="3"/>
      <c r="H62" s="1"/>
      <c r="I62" s="3"/>
      <c r="J62" s="1"/>
      <c r="K62" s="3"/>
      <c r="Q62" s="5"/>
      <c r="R62" s="1"/>
      <c r="S62" s="2"/>
      <c r="U62" s="3"/>
      <c r="V62" s="3"/>
      <c r="W62" s="1"/>
      <c r="X62" s="3"/>
      <c r="Y62" s="1"/>
      <c r="Z62" s="3"/>
      <c r="AE62" s="5"/>
      <c r="AF62" s="1"/>
      <c r="AG62" s="2"/>
      <c r="AI62" s="3"/>
      <c r="AJ62" s="3"/>
      <c r="AK62" s="1"/>
      <c r="AL62" s="3"/>
      <c r="AM62" s="1"/>
      <c r="AN62" s="3"/>
      <c r="AS62" s="5"/>
      <c r="AT62" s="1"/>
      <c r="AU62" s="2"/>
      <c r="AW62" s="3"/>
      <c r="AX62" s="3"/>
      <c r="AY62" s="1"/>
      <c r="AZ62" s="3"/>
      <c r="BA62" s="5"/>
      <c r="BB62" s="3"/>
    </row>
    <row r="63" spans="2:54" x14ac:dyDescent="0.3">
      <c r="B63" s="5"/>
      <c r="C63" s="1"/>
      <c r="D63" s="2"/>
      <c r="E63" s="7"/>
      <c r="F63" s="3"/>
      <c r="G63" s="3"/>
      <c r="H63" s="1"/>
      <c r="I63" s="3"/>
      <c r="J63" s="1"/>
      <c r="K63" s="3"/>
      <c r="Q63" s="5"/>
      <c r="R63" s="1"/>
      <c r="S63" s="2"/>
      <c r="U63" s="3"/>
      <c r="V63" s="3"/>
      <c r="W63" s="1"/>
      <c r="X63" s="3"/>
      <c r="Y63" s="1"/>
      <c r="Z63" s="3"/>
      <c r="AE63" s="5"/>
      <c r="AF63" s="1"/>
      <c r="AG63" s="2"/>
      <c r="AI63" s="3"/>
      <c r="AJ63" s="3"/>
      <c r="AK63" s="1"/>
      <c r="AL63" s="3"/>
      <c r="AM63" s="1"/>
      <c r="AN63" s="3"/>
      <c r="AS63" s="5"/>
      <c r="AT63" s="1"/>
      <c r="AU63" s="2"/>
      <c r="AW63" s="3"/>
      <c r="AX63" s="3"/>
      <c r="AY63" s="1"/>
      <c r="AZ63" s="3"/>
      <c r="BA63" s="5"/>
      <c r="BB63" s="3"/>
    </row>
    <row r="64" spans="2:54" x14ac:dyDescent="0.3">
      <c r="B64" s="5"/>
      <c r="C64" s="1"/>
      <c r="D64" s="2"/>
      <c r="E64" s="7"/>
      <c r="F64" s="3"/>
      <c r="G64" s="3"/>
      <c r="H64" s="1"/>
      <c r="I64" s="3"/>
      <c r="J64" s="1"/>
      <c r="K64" s="3"/>
      <c r="Q64" s="5"/>
      <c r="R64" s="1"/>
      <c r="S64" s="2"/>
      <c r="U64" s="3"/>
      <c r="V64" s="3"/>
      <c r="W64" s="1"/>
      <c r="X64" s="3"/>
      <c r="Y64" s="1"/>
      <c r="Z64" s="3"/>
      <c r="AE64" s="5"/>
      <c r="AF64" s="1"/>
      <c r="AG64" s="2"/>
      <c r="AI64" s="3"/>
      <c r="AJ64" s="3"/>
      <c r="AK64" s="1"/>
      <c r="AL64" s="3"/>
      <c r="AM64" s="1"/>
      <c r="AN64" s="3"/>
      <c r="AS64" s="5"/>
      <c r="AT64" s="1"/>
      <c r="AU64" s="2"/>
      <c r="AW64" s="3"/>
      <c r="AX64" s="3"/>
      <c r="AY64" s="1"/>
      <c r="AZ64" s="3"/>
      <c r="BA64" s="5"/>
      <c r="BB64" s="3"/>
    </row>
    <row r="65" spans="2:54" x14ac:dyDescent="0.3">
      <c r="B65" s="5"/>
      <c r="C65" s="1"/>
      <c r="D65" s="2"/>
      <c r="E65" s="7"/>
      <c r="F65" s="3"/>
      <c r="G65" s="3"/>
      <c r="H65" s="1"/>
      <c r="I65" s="3"/>
      <c r="J65" s="1"/>
      <c r="K65" s="3"/>
      <c r="Q65" s="5"/>
      <c r="R65" s="1"/>
      <c r="S65" s="2"/>
      <c r="U65" s="3"/>
      <c r="V65" s="3"/>
      <c r="W65" s="1"/>
      <c r="X65" s="3"/>
      <c r="Y65" s="1"/>
      <c r="Z65" s="3"/>
      <c r="AE65" s="5"/>
      <c r="AF65" s="1"/>
      <c r="AG65" s="2"/>
      <c r="AI65" s="3"/>
      <c r="AJ65" s="3"/>
      <c r="AK65" s="1"/>
      <c r="AL65" s="3"/>
      <c r="AM65" s="1"/>
      <c r="AN65" s="3"/>
      <c r="AS65" s="5"/>
      <c r="AT65" s="1"/>
      <c r="AU65" s="2"/>
      <c r="AW65" s="3"/>
      <c r="AX65" s="3"/>
      <c r="AY65" s="1"/>
      <c r="AZ65" s="3"/>
      <c r="BA65" s="5"/>
      <c r="BB65" s="3"/>
    </row>
    <row r="66" spans="2:54" x14ac:dyDescent="0.3">
      <c r="B66" s="5"/>
      <c r="C66" s="1"/>
      <c r="D66" s="2"/>
      <c r="E66" s="7"/>
      <c r="F66" s="3"/>
      <c r="G66" s="3"/>
      <c r="H66" s="1"/>
      <c r="I66" s="3"/>
      <c r="J66" s="1"/>
      <c r="K66" s="3"/>
      <c r="Q66" s="5"/>
      <c r="R66" s="1"/>
      <c r="S66" s="2"/>
      <c r="U66" s="3"/>
      <c r="V66" s="3"/>
      <c r="W66" s="1"/>
      <c r="X66" s="3"/>
      <c r="Y66" s="1"/>
      <c r="Z66" s="3"/>
      <c r="AE66" s="5"/>
      <c r="AF66" s="1"/>
      <c r="AG66" s="2"/>
      <c r="AI66" s="3"/>
      <c r="AJ66" s="3"/>
      <c r="AK66" s="1"/>
      <c r="AL66" s="3"/>
      <c r="AM66" s="1"/>
      <c r="AN66" s="3"/>
      <c r="AS66" s="5"/>
      <c r="AT66" s="1"/>
      <c r="AU66" s="2"/>
      <c r="AW66" s="3"/>
      <c r="AX66" s="3"/>
      <c r="AY66" s="1"/>
      <c r="AZ66" s="3"/>
      <c r="BA66" s="5"/>
      <c r="BB66" s="3"/>
    </row>
    <row r="67" spans="2:54" x14ac:dyDescent="0.3">
      <c r="B67" s="5"/>
      <c r="C67" s="1"/>
      <c r="D67" s="2"/>
      <c r="E67" s="7"/>
      <c r="F67" s="3"/>
      <c r="G67" s="3"/>
      <c r="H67" s="1"/>
      <c r="I67" s="3"/>
      <c r="J67" s="1"/>
      <c r="K67" s="3"/>
      <c r="Q67" s="5"/>
      <c r="R67" s="1"/>
      <c r="S67" s="2"/>
      <c r="U67" s="3"/>
      <c r="V67" s="3"/>
      <c r="W67" s="1"/>
      <c r="X67" s="3"/>
      <c r="Y67" s="1"/>
      <c r="Z67" s="3"/>
      <c r="AE67" s="5"/>
      <c r="AF67" s="1"/>
      <c r="AG67" s="2"/>
      <c r="AI67" s="3"/>
      <c r="AJ67" s="3"/>
      <c r="AK67" s="1"/>
      <c r="AL67" s="3"/>
      <c r="AM67" s="1"/>
      <c r="AN67" s="3"/>
      <c r="AS67" s="5"/>
      <c r="AT67" s="1"/>
      <c r="AU67" s="2"/>
      <c r="AW67" s="3"/>
      <c r="AX67" s="3"/>
      <c r="AY67" s="1"/>
      <c r="AZ67" s="3"/>
      <c r="BA67" s="5"/>
      <c r="BB67" s="3"/>
    </row>
    <row r="68" spans="2:54" x14ac:dyDescent="0.3">
      <c r="B68" s="5"/>
      <c r="C68" s="1"/>
      <c r="D68" s="2"/>
      <c r="E68" s="7"/>
      <c r="F68" s="3"/>
      <c r="G68" s="3"/>
      <c r="H68" s="1"/>
      <c r="I68" s="3"/>
      <c r="J68" s="1"/>
      <c r="K68" s="3"/>
      <c r="Q68" s="5"/>
      <c r="R68" s="1"/>
      <c r="S68" s="2"/>
      <c r="U68" s="3"/>
      <c r="V68" s="3"/>
      <c r="W68" s="1"/>
      <c r="X68" s="3"/>
      <c r="Y68" s="1"/>
      <c r="Z68" s="3"/>
      <c r="AE68" s="5"/>
      <c r="AF68" s="1"/>
      <c r="AG68" s="2"/>
      <c r="AI68" s="3"/>
      <c r="AJ68" s="3"/>
      <c r="AK68" s="1"/>
      <c r="AL68" s="3"/>
      <c r="AM68" s="1"/>
      <c r="AN68" s="3"/>
      <c r="AS68" s="5"/>
      <c r="AT68" s="1"/>
      <c r="AU68" s="2"/>
      <c r="AW68" s="3"/>
      <c r="AX68" s="3"/>
      <c r="AY68" s="1"/>
      <c r="AZ68" s="3"/>
      <c r="BA68" s="5"/>
      <c r="BB68" s="3"/>
    </row>
    <row r="69" spans="2:54" x14ac:dyDescent="0.3">
      <c r="B69" s="5"/>
      <c r="C69" s="1"/>
      <c r="D69" s="2"/>
      <c r="E69" s="7"/>
      <c r="F69" s="3"/>
      <c r="G69" s="3"/>
      <c r="H69" s="1"/>
      <c r="I69" s="3"/>
      <c r="J69" s="1"/>
      <c r="K69" s="3"/>
      <c r="Q69" s="5"/>
      <c r="R69" s="1"/>
      <c r="S69" s="2"/>
      <c r="U69" s="3"/>
      <c r="V69" s="3"/>
      <c r="W69" s="1"/>
      <c r="X69" s="3"/>
      <c r="Y69" s="1"/>
      <c r="Z69" s="3"/>
      <c r="AE69" s="5"/>
      <c r="AF69" s="1"/>
      <c r="AG69" s="2"/>
      <c r="AI69" s="3"/>
      <c r="AJ69" s="3"/>
      <c r="AK69" s="1"/>
      <c r="AL69" s="3"/>
      <c r="AM69" s="1"/>
      <c r="AN69" s="3"/>
      <c r="AS69" s="5"/>
      <c r="AT69" s="1"/>
      <c r="AU69" s="2"/>
      <c r="AW69" s="3"/>
      <c r="AX69" s="3"/>
      <c r="AY69" s="1"/>
      <c r="AZ69" s="3"/>
      <c r="BA69" s="5"/>
      <c r="BB69" s="3"/>
    </row>
    <row r="70" spans="2:54" x14ac:dyDescent="0.3">
      <c r="B70" s="5"/>
      <c r="C70" s="1"/>
      <c r="D70" s="2"/>
      <c r="E70" s="7"/>
      <c r="F70" s="3"/>
      <c r="G70" s="3"/>
      <c r="H70" s="1"/>
      <c r="I70" s="3"/>
      <c r="J70" s="1"/>
      <c r="K70" s="3"/>
      <c r="Q70" s="5"/>
      <c r="R70" s="1"/>
      <c r="S70" s="2"/>
      <c r="U70" s="3"/>
      <c r="V70" s="3"/>
      <c r="W70" s="1"/>
      <c r="X70" s="3"/>
      <c r="Y70" s="1"/>
      <c r="Z70" s="3"/>
      <c r="AE70" s="5"/>
      <c r="AF70" s="1"/>
      <c r="AG70" s="2"/>
      <c r="AI70" s="3"/>
      <c r="AJ70" s="3"/>
      <c r="AK70" s="1"/>
      <c r="AL70" s="3"/>
      <c r="AM70" s="1"/>
      <c r="AN70" s="3"/>
      <c r="AS70" s="5"/>
      <c r="AT70" s="1"/>
      <c r="AU70" s="2"/>
      <c r="AW70" s="3"/>
      <c r="AX70" s="3"/>
      <c r="AY70" s="1"/>
      <c r="AZ70" s="3"/>
      <c r="BA70" s="5"/>
      <c r="BB70" s="3"/>
    </row>
    <row r="71" spans="2:54" x14ac:dyDescent="0.3">
      <c r="B71" s="5"/>
      <c r="C71" s="1"/>
      <c r="D71" s="2"/>
      <c r="E71" s="7"/>
      <c r="F71" s="3"/>
      <c r="G71" s="3"/>
      <c r="H71" s="1"/>
      <c r="I71" s="3"/>
      <c r="J71" s="1"/>
      <c r="K71" s="3"/>
      <c r="Q71" s="5"/>
      <c r="R71" s="1"/>
      <c r="S71" s="2"/>
      <c r="U71" s="3"/>
      <c r="V71" s="3"/>
      <c r="W71" s="1"/>
      <c r="X71" s="3"/>
      <c r="Y71" s="1"/>
      <c r="Z71" s="3"/>
      <c r="AE71" s="5"/>
      <c r="AF71" s="1"/>
      <c r="AG71" s="2"/>
      <c r="AI71" s="3"/>
      <c r="AJ71" s="3"/>
      <c r="AK71" s="1"/>
      <c r="AL71" s="3"/>
      <c r="AM71" s="1"/>
      <c r="AN71" s="3"/>
      <c r="AS71" s="5"/>
      <c r="AT71" s="1"/>
      <c r="AU71" s="2"/>
      <c r="AW71" s="3"/>
      <c r="AX71" s="3"/>
      <c r="AY71" s="1"/>
      <c r="AZ71" s="3"/>
      <c r="BA71" s="5"/>
      <c r="BB71" s="3"/>
    </row>
    <row r="72" spans="2:54" x14ac:dyDescent="0.3">
      <c r="B72" s="5"/>
      <c r="C72" s="1"/>
      <c r="D72" s="2"/>
      <c r="E72" s="7"/>
      <c r="F72" s="3"/>
      <c r="G72" s="3"/>
      <c r="H72" s="1"/>
      <c r="I72" s="3"/>
      <c r="J72" s="1"/>
      <c r="K72" s="3"/>
      <c r="Q72" s="5"/>
      <c r="R72" s="1"/>
      <c r="S72" s="2"/>
      <c r="U72" s="3"/>
      <c r="V72" s="3"/>
      <c r="W72" s="1"/>
      <c r="X72" s="3"/>
      <c r="Y72" s="1"/>
      <c r="Z72" s="3"/>
      <c r="AE72" s="5"/>
      <c r="AF72" s="1"/>
      <c r="AG72" s="2"/>
      <c r="AI72" s="3"/>
      <c r="AJ72" s="3"/>
      <c r="AK72" s="1"/>
      <c r="AL72" s="3"/>
      <c r="AM72" s="1"/>
      <c r="AN72" s="3"/>
      <c r="AS72" s="5"/>
      <c r="AT72" s="1"/>
      <c r="AU72" s="2"/>
      <c r="AW72" s="3"/>
      <c r="AX72" s="3"/>
      <c r="AY72" s="1"/>
      <c r="AZ72" s="3"/>
      <c r="BA72" s="5"/>
      <c r="BB72" s="3"/>
    </row>
    <row r="73" spans="2:54" x14ac:dyDescent="0.3">
      <c r="B73" s="5"/>
      <c r="C73" s="1"/>
      <c r="D73" s="2"/>
      <c r="E73" s="7"/>
      <c r="F73" s="3"/>
      <c r="G73" s="3"/>
      <c r="H73" s="1"/>
      <c r="I73" s="3"/>
      <c r="J73" s="1"/>
      <c r="K73" s="3"/>
      <c r="Q73" s="5"/>
      <c r="R73" s="1"/>
      <c r="S73" s="2"/>
      <c r="U73" s="3"/>
      <c r="V73" s="3"/>
      <c r="W73" s="1"/>
      <c r="X73" s="3"/>
      <c r="Y73" s="1"/>
      <c r="Z73" s="3"/>
      <c r="AE73" s="5"/>
      <c r="AF73" s="1"/>
      <c r="AG73" s="2"/>
      <c r="AI73" s="3"/>
      <c r="AJ73" s="3"/>
      <c r="AK73" s="1"/>
      <c r="AL73" s="3"/>
      <c r="AM73" s="1"/>
      <c r="AN73" s="3"/>
      <c r="AS73" s="5"/>
      <c r="AT73" s="1"/>
      <c r="AU73" s="2"/>
      <c r="AW73" s="3"/>
      <c r="AX73" s="3"/>
      <c r="AY73" s="1"/>
      <c r="AZ73" s="3"/>
      <c r="BA73" s="5"/>
      <c r="BB73" s="3"/>
    </row>
    <row r="74" spans="2:54" x14ac:dyDescent="0.3">
      <c r="B74" s="5"/>
      <c r="C74" s="1"/>
      <c r="D74" s="2"/>
      <c r="E74" s="7"/>
      <c r="F74" s="3"/>
      <c r="G74" s="3"/>
      <c r="H74" s="1"/>
      <c r="I74" s="3"/>
      <c r="J74" s="1"/>
      <c r="K74" s="3"/>
      <c r="Q74" s="5"/>
      <c r="R74" s="1"/>
      <c r="S74" s="2"/>
      <c r="U74" s="3"/>
      <c r="V74" s="3"/>
      <c r="W74" s="1"/>
      <c r="X74" s="3"/>
      <c r="Y74" s="1"/>
      <c r="Z74" s="3"/>
      <c r="AE74" s="5"/>
      <c r="AF74" s="1"/>
      <c r="AG74" s="2"/>
      <c r="AI74" s="3"/>
      <c r="AJ74" s="3"/>
      <c r="AK74" s="1"/>
      <c r="AL74" s="3"/>
      <c r="AM74" s="1"/>
      <c r="AN74" s="3"/>
      <c r="AS74" s="5"/>
      <c r="AT74" s="1"/>
      <c r="AU74" s="2"/>
      <c r="AW74" s="3"/>
      <c r="AX74" s="3"/>
      <c r="AY74" s="1"/>
      <c r="AZ74" s="3"/>
      <c r="BA74" s="5"/>
      <c r="BB74" s="3"/>
    </row>
    <row r="75" spans="2:54" x14ac:dyDescent="0.3">
      <c r="B75" s="5"/>
      <c r="C75" s="1"/>
      <c r="D75" s="2"/>
      <c r="E75" s="7"/>
      <c r="F75" s="3"/>
      <c r="G75" s="3"/>
      <c r="H75" s="1"/>
      <c r="I75" s="3"/>
      <c r="J75" s="1"/>
      <c r="K75" s="3"/>
      <c r="Q75" s="5"/>
      <c r="R75" s="1"/>
      <c r="S75" s="2"/>
      <c r="U75" s="3"/>
      <c r="V75" s="3"/>
      <c r="W75" s="1"/>
      <c r="X75" s="3"/>
      <c r="Y75" s="1"/>
      <c r="Z75" s="3"/>
      <c r="AE75" s="5"/>
      <c r="AF75" s="1"/>
      <c r="AG75" s="2"/>
      <c r="AI75" s="3"/>
      <c r="AJ75" s="3"/>
      <c r="AK75" s="1"/>
      <c r="AL75" s="3"/>
      <c r="AM75" s="1"/>
      <c r="AN75" s="3"/>
      <c r="AS75" s="5"/>
      <c r="AT75" s="1"/>
      <c r="AU75" s="2"/>
      <c r="AW75" s="3"/>
      <c r="AX75" s="3"/>
      <c r="AY75" s="1"/>
      <c r="AZ75" s="3"/>
      <c r="BA75" s="5"/>
      <c r="BB75" s="3"/>
    </row>
    <row r="76" spans="2:54" x14ac:dyDescent="0.3">
      <c r="B76" s="5"/>
      <c r="C76" s="1"/>
      <c r="D76" s="2"/>
      <c r="E76" s="7"/>
      <c r="F76" s="3"/>
      <c r="G76" s="3"/>
      <c r="H76" s="1"/>
      <c r="I76" s="3"/>
      <c r="J76" s="1"/>
      <c r="K76" s="3"/>
      <c r="Q76" s="5"/>
      <c r="R76" s="1"/>
      <c r="S76" s="2"/>
      <c r="U76" s="3"/>
      <c r="V76" s="3"/>
      <c r="W76" s="1"/>
      <c r="X76" s="3"/>
      <c r="Y76" s="1"/>
      <c r="Z76" s="3"/>
      <c r="AE76" s="5"/>
      <c r="AF76" s="1"/>
      <c r="AG76" s="2"/>
      <c r="AI76" s="3"/>
      <c r="AJ76" s="3"/>
      <c r="AK76" s="1"/>
      <c r="AL76" s="3"/>
      <c r="AM76" s="1"/>
      <c r="AN76" s="3"/>
      <c r="AS76" s="5"/>
      <c r="AT76" s="1"/>
      <c r="AU76" s="2"/>
      <c r="AW76" s="3"/>
      <c r="AX76" s="3"/>
      <c r="AY76" s="1"/>
      <c r="AZ76" s="3"/>
      <c r="BA76" s="5"/>
      <c r="BB76" s="3"/>
    </row>
    <row r="77" spans="2:54" x14ac:dyDescent="0.3">
      <c r="B77" s="5"/>
      <c r="C77" s="1"/>
      <c r="D77" s="2"/>
      <c r="E77" s="7"/>
      <c r="F77" s="3"/>
      <c r="G77" s="3"/>
      <c r="H77" s="1"/>
      <c r="I77" s="3"/>
      <c r="J77" s="1"/>
      <c r="K77" s="3"/>
      <c r="Q77" s="5"/>
      <c r="R77" s="1"/>
      <c r="S77" s="2"/>
      <c r="U77" s="3"/>
      <c r="V77" s="3"/>
      <c r="W77" s="1"/>
      <c r="X77" s="3"/>
      <c r="Y77" s="1"/>
      <c r="Z77" s="3"/>
      <c r="AE77" s="5"/>
      <c r="AF77" s="1"/>
      <c r="AG77" s="2"/>
      <c r="AI77" s="3"/>
      <c r="AJ77" s="3"/>
      <c r="AK77" s="1"/>
      <c r="AL77" s="3"/>
      <c r="AM77" s="1"/>
      <c r="AN77" s="3"/>
      <c r="AS77" s="5"/>
      <c r="AT77" s="1"/>
      <c r="AU77" s="2"/>
      <c r="AW77" s="3"/>
      <c r="AX77" s="3"/>
      <c r="AY77" s="1"/>
      <c r="AZ77" s="3"/>
      <c r="BA77" s="5"/>
      <c r="BB77" s="3"/>
    </row>
    <row r="78" spans="2:54" x14ac:dyDescent="0.3">
      <c r="B78" s="5"/>
      <c r="C78" s="1"/>
      <c r="D78" s="2"/>
      <c r="E78" s="7"/>
      <c r="F78" s="3"/>
      <c r="G78" s="3"/>
      <c r="H78" s="1"/>
      <c r="I78" s="3"/>
      <c r="J78" s="1"/>
      <c r="K78" s="3"/>
      <c r="Q78" s="5"/>
      <c r="R78" s="1"/>
      <c r="S78" s="2"/>
      <c r="U78" s="3"/>
      <c r="V78" s="3"/>
      <c r="W78" s="1"/>
      <c r="X78" s="3"/>
      <c r="Y78" s="1"/>
      <c r="Z78" s="3"/>
      <c r="AE78" s="5"/>
      <c r="AF78" s="1"/>
      <c r="AG78" s="2"/>
      <c r="AI78" s="3"/>
      <c r="AJ78" s="3"/>
      <c r="AK78" s="1"/>
      <c r="AL78" s="3"/>
      <c r="AM78" s="1"/>
      <c r="AN78" s="3"/>
      <c r="AS78" s="5"/>
      <c r="AT78" s="1"/>
      <c r="AU78" s="2"/>
      <c r="AW78" s="3"/>
      <c r="AX78" s="3"/>
      <c r="AY78" s="1"/>
      <c r="AZ78" s="3"/>
      <c r="BA78" s="5"/>
      <c r="BB78" s="3"/>
    </row>
    <row r="79" spans="2:54" x14ac:dyDescent="0.3">
      <c r="B79" s="5"/>
      <c r="C79" s="1"/>
      <c r="D79" s="2"/>
      <c r="E79" s="7"/>
      <c r="F79" s="3"/>
      <c r="G79" s="3"/>
      <c r="H79" s="1"/>
      <c r="I79" s="3"/>
      <c r="J79" s="1"/>
      <c r="K79" s="3"/>
      <c r="Q79" s="5"/>
      <c r="R79" s="1"/>
      <c r="S79" s="2"/>
      <c r="U79" s="3"/>
      <c r="V79" s="3"/>
      <c r="W79" s="1"/>
      <c r="X79" s="3"/>
      <c r="Y79" s="1"/>
      <c r="Z79" s="3"/>
      <c r="AE79" s="5"/>
      <c r="AF79" s="1"/>
      <c r="AG79" s="2"/>
      <c r="AI79" s="3"/>
      <c r="AJ79" s="3"/>
      <c r="AK79" s="1"/>
      <c r="AL79" s="3"/>
      <c r="AM79" s="1"/>
      <c r="AN79" s="3"/>
      <c r="AS79" s="5"/>
      <c r="AT79" s="1"/>
      <c r="AU79" s="2"/>
      <c r="AW79" s="3"/>
      <c r="AX79" s="3"/>
      <c r="AY79" s="1"/>
      <c r="AZ79" s="3"/>
      <c r="BA79" s="5"/>
      <c r="BB79" s="3"/>
    </row>
    <row r="80" spans="2:54" x14ac:dyDescent="0.3">
      <c r="B80" s="5"/>
      <c r="C80" s="1"/>
      <c r="D80" s="2"/>
      <c r="E80" s="7"/>
      <c r="F80" s="3"/>
      <c r="G80" s="3"/>
      <c r="H80" s="1"/>
      <c r="I80" s="3"/>
      <c r="J80" s="1"/>
      <c r="K80" s="3"/>
      <c r="Q80" s="5"/>
      <c r="R80" s="1"/>
      <c r="S80" s="2"/>
      <c r="U80" s="3"/>
      <c r="V80" s="3"/>
      <c r="W80" s="1"/>
      <c r="X80" s="3"/>
      <c r="Y80" s="1"/>
      <c r="Z80" s="3"/>
      <c r="AE80" s="5"/>
      <c r="AF80" s="1"/>
      <c r="AG80" s="2"/>
      <c r="AI80" s="3"/>
      <c r="AJ80" s="3"/>
      <c r="AK80" s="1"/>
      <c r="AL80" s="3"/>
      <c r="AM80" s="1"/>
      <c r="AN80" s="3"/>
      <c r="AS80" s="5"/>
      <c r="AT80" s="1"/>
      <c r="AU80" s="2"/>
      <c r="AW80" s="3"/>
      <c r="AX80" s="3"/>
      <c r="AY80" s="1"/>
      <c r="AZ80" s="3"/>
      <c r="BA80" s="5"/>
      <c r="BB80" s="3"/>
    </row>
    <row r="81" spans="2:54" x14ac:dyDescent="0.3">
      <c r="B81" s="5"/>
      <c r="C81" s="1"/>
      <c r="D81" s="2"/>
      <c r="E81" s="7"/>
      <c r="F81" s="3"/>
      <c r="G81" s="3"/>
      <c r="H81" s="1"/>
      <c r="I81" s="3"/>
      <c r="J81" s="1"/>
      <c r="K81" s="3"/>
      <c r="Q81" s="5"/>
      <c r="R81" s="1"/>
      <c r="S81" s="2"/>
      <c r="U81" s="3"/>
      <c r="V81" s="3"/>
      <c r="W81" s="1"/>
      <c r="X81" s="3"/>
      <c r="Y81" s="1"/>
      <c r="Z81" s="3"/>
      <c r="AE81" s="5"/>
      <c r="AF81" s="1"/>
      <c r="AG81" s="2"/>
      <c r="AI81" s="3"/>
      <c r="AJ81" s="3"/>
      <c r="AK81" s="1"/>
      <c r="AL81" s="3"/>
      <c r="AM81" s="1"/>
      <c r="AN81" s="3"/>
      <c r="AS81" s="5"/>
      <c r="AT81" s="1"/>
      <c r="AU81" s="2"/>
      <c r="AW81" s="3"/>
      <c r="AX81" s="3"/>
      <c r="AY81" s="1"/>
      <c r="AZ81" s="3"/>
      <c r="BA81" s="5"/>
      <c r="BB81" s="3"/>
    </row>
    <row r="82" spans="2:54" x14ac:dyDescent="0.3">
      <c r="B82" s="5"/>
      <c r="C82" s="1"/>
      <c r="D82" s="2"/>
      <c r="E82" s="7"/>
      <c r="F82" s="3"/>
      <c r="G82" s="3"/>
      <c r="H82" s="1"/>
      <c r="I82" s="3"/>
      <c r="J82" s="1"/>
      <c r="K82" s="3"/>
      <c r="Q82" s="5"/>
      <c r="R82" s="1"/>
      <c r="S82" s="2"/>
      <c r="U82" s="3"/>
      <c r="V82" s="3"/>
      <c r="W82" s="1"/>
      <c r="X82" s="3"/>
      <c r="Y82" s="1"/>
      <c r="Z82" s="3"/>
      <c r="AE82" s="5"/>
      <c r="AF82" s="1"/>
      <c r="AG82" s="2"/>
      <c r="AI82" s="3"/>
      <c r="AJ82" s="3"/>
      <c r="AK82" s="1"/>
      <c r="AL82" s="3"/>
      <c r="AM82" s="1"/>
      <c r="AN82" s="3"/>
      <c r="AS82" s="5"/>
      <c r="AT82" s="1"/>
      <c r="AU82" s="2"/>
      <c r="AW82" s="3"/>
      <c r="AX82" s="3"/>
      <c r="AY82" s="1"/>
      <c r="AZ82" s="3"/>
      <c r="BA82" s="5"/>
      <c r="BB82" s="3"/>
    </row>
    <row r="83" spans="2:54" x14ac:dyDescent="0.3">
      <c r="B83" s="5"/>
      <c r="C83" s="1"/>
      <c r="D83" s="2"/>
      <c r="E83" s="7"/>
      <c r="F83" s="3"/>
      <c r="G83" s="3"/>
      <c r="H83" s="1"/>
      <c r="I83" s="3"/>
      <c r="J83" s="1"/>
      <c r="K83" s="3"/>
      <c r="Q83" s="5"/>
      <c r="R83" s="1"/>
      <c r="S83" s="2"/>
      <c r="U83" s="3"/>
      <c r="V83" s="3"/>
      <c r="W83" s="1"/>
      <c r="X83" s="3"/>
      <c r="Y83" s="1"/>
      <c r="Z83" s="3"/>
      <c r="AE83" s="5"/>
      <c r="AF83" s="1"/>
      <c r="AG83" s="2"/>
      <c r="AI83" s="3"/>
      <c r="AJ83" s="3"/>
      <c r="AK83" s="1"/>
      <c r="AL83" s="3"/>
      <c r="AM83" s="1"/>
      <c r="AN83" s="3"/>
      <c r="AS83" s="5"/>
      <c r="AT83" s="1"/>
      <c r="AU83" s="2"/>
      <c r="AW83" s="3"/>
      <c r="AX83" s="3"/>
      <c r="AY83" s="1"/>
      <c r="AZ83" s="3"/>
      <c r="BA83" s="5"/>
      <c r="BB83" s="3"/>
    </row>
    <row r="84" spans="2:54" x14ac:dyDescent="0.3">
      <c r="B84" s="5"/>
      <c r="C84" s="1"/>
      <c r="D84" s="2"/>
      <c r="E84" s="7"/>
      <c r="F84" s="3"/>
      <c r="G84" s="3"/>
      <c r="H84" s="1"/>
      <c r="I84" s="3"/>
      <c r="J84" s="1"/>
      <c r="K84" s="3"/>
      <c r="Q84" s="5"/>
      <c r="R84" s="1"/>
      <c r="S84" s="2"/>
      <c r="U84" s="3"/>
      <c r="V84" s="3"/>
      <c r="W84" s="1"/>
      <c r="X84" s="3"/>
      <c r="Y84" s="1"/>
      <c r="Z84" s="3"/>
      <c r="AE84" s="5"/>
      <c r="AF84" s="1"/>
      <c r="AG84" s="2"/>
      <c r="AI84" s="3"/>
      <c r="AJ84" s="3"/>
      <c r="AK84" s="1"/>
      <c r="AL84" s="3"/>
      <c r="AM84" s="1"/>
      <c r="AN84" s="3"/>
      <c r="AS84" s="5"/>
      <c r="AT84" s="1"/>
      <c r="AU84" s="2"/>
      <c r="AW84" s="3"/>
      <c r="AX84" s="3"/>
      <c r="AY84" s="1"/>
      <c r="AZ84" s="3"/>
      <c r="BA84" s="5"/>
      <c r="BB84" s="3"/>
    </row>
    <row r="85" spans="2:54" x14ac:dyDescent="0.3">
      <c r="B85" s="5"/>
      <c r="C85" s="1"/>
      <c r="D85" s="2"/>
      <c r="E85" s="7"/>
      <c r="F85" s="3"/>
      <c r="G85" s="3"/>
      <c r="H85" s="1"/>
      <c r="I85" s="3"/>
      <c r="J85" s="1"/>
      <c r="K85" s="3"/>
      <c r="Q85" s="5"/>
      <c r="R85" s="1"/>
      <c r="S85" s="2"/>
      <c r="U85" s="3"/>
      <c r="V85" s="3"/>
      <c r="W85" s="1"/>
      <c r="X85" s="3"/>
      <c r="Y85" s="1"/>
      <c r="Z85" s="3"/>
      <c r="AE85" s="5"/>
      <c r="AF85" s="1"/>
      <c r="AG85" s="2"/>
      <c r="AI85" s="3"/>
      <c r="AJ85" s="3"/>
      <c r="AK85" s="1"/>
      <c r="AL85" s="3"/>
      <c r="AM85" s="1"/>
      <c r="AN85" s="3"/>
      <c r="AS85" s="5"/>
      <c r="AT85" s="1"/>
      <c r="AU85" s="2"/>
      <c r="AW85" s="3"/>
      <c r="AX85" s="3"/>
      <c r="AY85" s="1"/>
      <c r="AZ85" s="3"/>
      <c r="BA85" s="5"/>
      <c r="BB85" s="3"/>
    </row>
    <row r="86" spans="2:54" x14ac:dyDescent="0.3">
      <c r="B86" s="5"/>
      <c r="C86" s="1"/>
      <c r="D86" s="2"/>
      <c r="E86" s="7"/>
      <c r="F86" s="3"/>
      <c r="G86" s="3"/>
      <c r="H86" s="1"/>
      <c r="I86" s="3"/>
      <c r="J86" s="1"/>
      <c r="K86" s="3"/>
      <c r="Q86" s="5"/>
      <c r="R86" s="1"/>
      <c r="S86" s="2"/>
      <c r="U86" s="3"/>
      <c r="V86" s="3"/>
      <c r="W86" s="1"/>
      <c r="X86" s="3"/>
      <c r="Y86" s="1"/>
      <c r="Z86" s="3"/>
      <c r="AE86" s="5"/>
      <c r="AF86" s="1"/>
      <c r="AG86" s="2"/>
      <c r="AI86" s="3"/>
      <c r="AJ86" s="3"/>
      <c r="AK86" s="1"/>
      <c r="AL86" s="3"/>
      <c r="AM86" s="1"/>
      <c r="AN86" s="3"/>
      <c r="AS86" s="5"/>
      <c r="AT86" s="1"/>
      <c r="AU86" s="2"/>
      <c r="AW86" s="3"/>
      <c r="AX86" s="3"/>
      <c r="AY86" s="1"/>
      <c r="AZ86" s="3"/>
      <c r="BA86" s="5"/>
      <c r="BB86" s="3"/>
    </row>
    <row r="87" spans="2:54" x14ac:dyDescent="0.3">
      <c r="B87" s="5"/>
      <c r="C87" s="1"/>
      <c r="D87" s="2"/>
      <c r="E87" s="7"/>
      <c r="F87" s="3"/>
      <c r="G87" s="3"/>
      <c r="H87" s="1"/>
      <c r="I87" s="3"/>
      <c r="J87" s="1"/>
      <c r="K87" s="3"/>
      <c r="Q87" s="5"/>
      <c r="R87" s="1"/>
      <c r="S87" s="2"/>
      <c r="U87" s="3"/>
      <c r="V87" s="3"/>
      <c r="W87" s="1"/>
      <c r="X87" s="3"/>
      <c r="Y87" s="1"/>
      <c r="Z87" s="3"/>
      <c r="AE87" s="5"/>
      <c r="AF87" s="1"/>
      <c r="AG87" s="2"/>
      <c r="AI87" s="3"/>
      <c r="AJ87" s="3"/>
      <c r="AK87" s="1"/>
      <c r="AL87" s="3"/>
      <c r="AM87" s="1"/>
      <c r="AN87" s="3"/>
      <c r="AS87" s="5"/>
      <c r="AT87" s="1"/>
      <c r="AU87" s="2"/>
      <c r="AW87" s="3"/>
      <c r="AX87" s="3"/>
      <c r="AY87" s="1"/>
      <c r="AZ87" s="3"/>
      <c r="BA87" s="5"/>
      <c r="BB87" s="3"/>
    </row>
    <row r="88" spans="2:54" x14ac:dyDescent="0.3">
      <c r="B88" s="5"/>
      <c r="C88" s="1"/>
      <c r="D88" s="2"/>
      <c r="E88" s="7"/>
      <c r="F88" s="3"/>
      <c r="G88" s="3"/>
      <c r="H88" s="1"/>
      <c r="I88" s="3"/>
      <c r="J88" s="1"/>
      <c r="K88" s="3"/>
      <c r="Q88" s="5"/>
      <c r="R88" s="1"/>
      <c r="S88" s="2"/>
      <c r="U88" s="3"/>
      <c r="V88" s="3"/>
      <c r="W88" s="1"/>
      <c r="X88" s="3"/>
      <c r="Y88" s="1"/>
      <c r="Z88" s="3"/>
      <c r="AE88" s="5"/>
      <c r="AF88" s="1"/>
      <c r="AG88" s="2"/>
      <c r="AI88" s="3"/>
      <c r="AJ88" s="3"/>
      <c r="AK88" s="1"/>
      <c r="AL88" s="3"/>
      <c r="AM88" s="1"/>
      <c r="AN88" s="3"/>
      <c r="AS88" s="5"/>
      <c r="AT88" s="1"/>
      <c r="AU88" s="2"/>
      <c r="AW88" s="3"/>
      <c r="AX88" s="3"/>
      <c r="AY88" s="1"/>
      <c r="AZ88" s="3"/>
      <c r="BA88" s="5"/>
      <c r="BB88" s="3"/>
    </row>
    <row r="89" spans="2:54" x14ac:dyDescent="0.3">
      <c r="B89" s="5"/>
      <c r="C89" s="1"/>
      <c r="D89" s="2"/>
      <c r="E89" s="7"/>
      <c r="F89" s="3"/>
      <c r="G89" s="3"/>
      <c r="H89" s="1"/>
      <c r="I89" s="3"/>
      <c r="J89" s="1"/>
      <c r="K89" s="3"/>
      <c r="Q89" s="5"/>
      <c r="R89" s="1"/>
      <c r="S89" s="2"/>
      <c r="U89" s="3"/>
      <c r="V89" s="3"/>
      <c r="W89" s="1"/>
      <c r="X89" s="3"/>
      <c r="Y89" s="1"/>
      <c r="Z89" s="3"/>
      <c r="AE89" s="5"/>
      <c r="AF89" s="1"/>
      <c r="AG89" s="2"/>
      <c r="AI89" s="3"/>
      <c r="AJ89" s="3"/>
      <c r="AK89" s="1"/>
      <c r="AL89" s="3"/>
      <c r="AM89" s="1"/>
      <c r="AN89" s="3"/>
      <c r="AS89" s="5"/>
      <c r="AT89" s="1"/>
      <c r="AU89" s="2"/>
      <c r="AW89" s="3"/>
      <c r="AX89" s="3"/>
      <c r="AY89" s="1"/>
      <c r="AZ89" s="3"/>
      <c r="BA89" s="5"/>
      <c r="BB89" s="3"/>
    </row>
    <row r="90" spans="2:54" x14ac:dyDescent="0.3">
      <c r="B90" s="5"/>
      <c r="C90" s="1"/>
      <c r="D90" s="2"/>
      <c r="E90" s="7"/>
      <c r="F90" s="3"/>
      <c r="G90" s="3"/>
      <c r="H90" s="1"/>
      <c r="I90" s="3"/>
      <c r="J90" s="1"/>
      <c r="K90" s="3"/>
      <c r="Q90" s="5"/>
      <c r="R90" s="1"/>
      <c r="S90" s="2"/>
      <c r="U90" s="3"/>
      <c r="V90" s="3"/>
      <c r="W90" s="1"/>
      <c r="X90" s="3"/>
      <c r="Y90" s="1"/>
      <c r="Z90" s="3"/>
      <c r="AE90" s="5"/>
      <c r="AF90" s="1"/>
      <c r="AG90" s="2"/>
      <c r="AI90" s="3"/>
      <c r="AJ90" s="3"/>
      <c r="AK90" s="1"/>
      <c r="AL90" s="3"/>
      <c r="AM90" s="1"/>
      <c r="AN90" s="3"/>
      <c r="AS90" s="5"/>
      <c r="AT90" s="1"/>
      <c r="AU90" s="2"/>
      <c r="AW90" s="3"/>
      <c r="AX90" s="3"/>
      <c r="AY90" s="1"/>
      <c r="AZ90" s="3"/>
      <c r="BA90" s="5"/>
      <c r="BB90" s="3"/>
    </row>
    <row r="91" spans="2:54" x14ac:dyDescent="0.3">
      <c r="B91" s="5"/>
      <c r="C91" s="1"/>
      <c r="D91" s="2"/>
      <c r="E91" s="7"/>
      <c r="F91" s="3"/>
      <c r="G91" s="3"/>
      <c r="H91" s="1"/>
      <c r="I91" s="3"/>
      <c r="J91" s="1"/>
      <c r="K91" s="3"/>
      <c r="Q91" s="5"/>
      <c r="R91" s="1"/>
      <c r="S91" s="2"/>
      <c r="U91" s="3"/>
      <c r="V91" s="3"/>
      <c r="W91" s="1"/>
      <c r="X91" s="3"/>
      <c r="Y91" s="1"/>
      <c r="Z91" s="3"/>
      <c r="AE91" s="5"/>
      <c r="AF91" s="1"/>
      <c r="AG91" s="2"/>
      <c r="AI91" s="3"/>
      <c r="AJ91" s="3"/>
      <c r="AK91" s="1"/>
      <c r="AL91" s="3"/>
      <c r="AM91" s="1"/>
      <c r="AN91" s="3"/>
      <c r="AS91" s="5"/>
      <c r="AT91" s="1"/>
      <c r="AU91" s="2"/>
      <c r="AW91" s="3"/>
      <c r="AX91" s="3"/>
      <c r="AY91" s="1"/>
      <c r="AZ91" s="3"/>
      <c r="BA91" s="5"/>
      <c r="BB91" s="3"/>
    </row>
    <row r="92" spans="2:54" x14ac:dyDescent="0.3">
      <c r="B92" s="5"/>
      <c r="C92" s="1"/>
      <c r="D92" s="2"/>
      <c r="E92" s="7"/>
      <c r="F92" s="3"/>
      <c r="G92" s="3"/>
      <c r="H92" s="1"/>
      <c r="I92" s="3"/>
      <c r="J92" s="1"/>
      <c r="K92" s="3"/>
      <c r="Q92" s="5"/>
      <c r="R92" s="1"/>
      <c r="S92" s="2"/>
      <c r="U92" s="3"/>
      <c r="V92" s="3"/>
      <c r="W92" s="1"/>
      <c r="X92" s="3"/>
      <c r="Y92" s="1"/>
      <c r="Z92" s="3"/>
      <c r="AE92" s="5"/>
      <c r="AF92" s="1"/>
      <c r="AG92" s="2"/>
      <c r="AI92" s="3"/>
      <c r="AJ92" s="3"/>
      <c r="AK92" s="1"/>
      <c r="AL92" s="3"/>
      <c r="AM92" s="1"/>
      <c r="AN92" s="3"/>
      <c r="AS92" s="5"/>
      <c r="AT92" s="1"/>
      <c r="AU92" s="2"/>
      <c r="AW92" s="3"/>
      <c r="AX92" s="3"/>
      <c r="AY92" s="1"/>
      <c r="AZ92" s="3"/>
      <c r="BA92" s="5"/>
      <c r="BB92" s="3"/>
    </row>
    <row r="93" spans="2:54" x14ac:dyDescent="0.3">
      <c r="B93" s="5"/>
      <c r="C93" s="1"/>
      <c r="D93" s="2"/>
      <c r="E93" s="7"/>
      <c r="F93" s="3"/>
      <c r="G93" s="3"/>
      <c r="H93" s="1"/>
      <c r="I93" s="3"/>
      <c r="J93" s="1"/>
      <c r="K93" s="3"/>
      <c r="Q93" s="5"/>
      <c r="R93" s="1"/>
      <c r="S93" s="2"/>
      <c r="U93" s="3"/>
      <c r="V93" s="3"/>
      <c r="W93" s="1"/>
      <c r="X93" s="3"/>
      <c r="Y93" s="1"/>
      <c r="Z93" s="3"/>
      <c r="AE93" s="5"/>
      <c r="AF93" s="1"/>
      <c r="AG93" s="2"/>
      <c r="AI93" s="3"/>
      <c r="AJ93" s="3"/>
      <c r="AK93" s="1"/>
      <c r="AL93" s="3"/>
      <c r="AM93" s="1"/>
      <c r="AN93" s="3"/>
      <c r="AS93" s="5"/>
      <c r="AT93" s="1"/>
      <c r="AU93" s="2"/>
      <c r="AW93" s="3"/>
      <c r="AX93" s="3"/>
      <c r="AY93" s="1"/>
      <c r="AZ93" s="3"/>
      <c r="BA93" s="5"/>
      <c r="BB93" s="3"/>
    </row>
    <row r="94" spans="2:54" x14ac:dyDescent="0.3">
      <c r="B94" s="5"/>
      <c r="C94" s="1"/>
      <c r="D94" s="2"/>
      <c r="E94" s="7"/>
      <c r="F94" s="3"/>
      <c r="G94" s="3"/>
      <c r="H94" s="1"/>
      <c r="I94" s="3"/>
      <c r="J94" s="1"/>
      <c r="K94" s="3"/>
      <c r="Q94" s="5"/>
      <c r="R94" s="1"/>
      <c r="S94" s="2"/>
      <c r="U94" s="3"/>
      <c r="V94" s="3"/>
      <c r="W94" s="1"/>
      <c r="X94" s="3"/>
      <c r="Y94" s="1"/>
      <c r="Z94" s="3"/>
      <c r="AE94" s="5"/>
      <c r="AF94" s="1"/>
      <c r="AG94" s="2"/>
      <c r="AI94" s="3"/>
      <c r="AJ94" s="3"/>
      <c r="AK94" s="1"/>
      <c r="AL94" s="3"/>
      <c r="AM94" s="1"/>
      <c r="AN94" s="3"/>
      <c r="AS94" s="5"/>
      <c r="AT94" s="1"/>
      <c r="AU94" s="2"/>
      <c r="AW94" s="3"/>
      <c r="AX94" s="3"/>
      <c r="AY94" s="1"/>
      <c r="AZ94" s="3"/>
      <c r="BA94" s="5"/>
      <c r="BB94" s="3"/>
    </row>
    <row r="95" spans="2:54" x14ac:dyDescent="0.3">
      <c r="B95" s="5"/>
      <c r="C95" s="1"/>
      <c r="D95" s="2"/>
      <c r="E95" s="7"/>
      <c r="F95" s="3"/>
      <c r="G95" s="3"/>
      <c r="H95" s="1"/>
      <c r="I95" s="3"/>
      <c r="J95" s="1"/>
      <c r="K95" s="3"/>
      <c r="Q95" s="5"/>
      <c r="R95" s="1"/>
      <c r="S95" s="2"/>
      <c r="U95" s="3"/>
      <c r="V95" s="3"/>
      <c r="W95" s="1"/>
      <c r="X95" s="3"/>
      <c r="Y95" s="1"/>
      <c r="Z95" s="3"/>
      <c r="AE95" s="5"/>
      <c r="AF95" s="1"/>
      <c r="AG95" s="2"/>
      <c r="AI95" s="3"/>
      <c r="AJ95" s="3"/>
      <c r="AK95" s="1"/>
      <c r="AL95" s="3"/>
      <c r="AM95" s="1"/>
      <c r="AN95" s="3"/>
      <c r="AS95" s="5"/>
      <c r="AT95" s="1"/>
      <c r="AU95" s="2"/>
      <c r="AW95" s="3"/>
      <c r="AX95" s="3"/>
      <c r="AY95" s="1"/>
      <c r="AZ95" s="3"/>
      <c r="BA95" s="5"/>
      <c r="BB95" s="3"/>
    </row>
    <row r="96" spans="2:54" x14ac:dyDescent="0.3">
      <c r="B96" s="5"/>
      <c r="C96" s="1"/>
      <c r="D96" s="2"/>
      <c r="E96" s="7"/>
      <c r="F96" s="3"/>
      <c r="G96" s="3"/>
      <c r="H96" s="1"/>
      <c r="I96" s="3"/>
      <c r="J96" s="1"/>
      <c r="K96" s="3"/>
      <c r="Q96" s="5"/>
      <c r="R96" s="1"/>
      <c r="S96" s="2"/>
      <c r="U96" s="3"/>
      <c r="V96" s="3"/>
      <c r="W96" s="1"/>
      <c r="X96" s="3"/>
      <c r="Y96" s="1"/>
      <c r="Z96" s="3"/>
      <c r="AE96" s="5"/>
      <c r="AF96" s="1"/>
      <c r="AG96" s="2"/>
      <c r="AI96" s="3"/>
      <c r="AJ96" s="3"/>
      <c r="AK96" s="1"/>
      <c r="AL96" s="3"/>
      <c r="AM96" s="1"/>
      <c r="AN96" s="3"/>
      <c r="AS96" s="5"/>
      <c r="AT96" s="1"/>
      <c r="AU96" s="2"/>
      <c r="AW96" s="3"/>
      <c r="AX96" s="3"/>
      <c r="AY96" s="1"/>
      <c r="AZ96" s="3"/>
      <c r="BA96" s="5"/>
      <c r="BB96" s="3"/>
    </row>
    <row r="97" spans="2:54" x14ac:dyDescent="0.3">
      <c r="B97" s="5"/>
      <c r="C97" s="1"/>
      <c r="D97" s="2"/>
      <c r="E97" s="7"/>
      <c r="F97" s="3"/>
      <c r="G97" s="3"/>
      <c r="H97" s="1"/>
      <c r="I97" s="3"/>
      <c r="J97" s="1"/>
      <c r="K97" s="3"/>
      <c r="Q97" s="5"/>
      <c r="R97" s="1"/>
      <c r="S97" s="2"/>
      <c r="U97" s="3"/>
      <c r="V97" s="3"/>
      <c r="W97" s="1"/>
      <c r="X97" s="3"/>
      <c r="Y97" s="1"/>
      <c r="Z97" s="3"/>
      <c r="AE97" s="5"/>
      <c r="AF97" s="1"/>
      <c r="AG97" s="2"/>
      <c r="AI97" s="3"/>
      <c r="AJ97" s="3"/>
      <c r="AK97" s="1"/>
      <c r="AL97" s="3"/>
      <c r="AM97" s="1"/>
      <c r="AN97" s="3"/>
      <c r="AS97" s="5"/>
      <c r="AT97" s="1"/>
      <c r="AU97" s="2"/>
      <c r="AW97" s="3"/>
      <c r="AX97" s="3"/>
      <c r="AY97" s="1"/>
      <c r="AZ97" s="3"/>
      <c r="BA97" s="5"/>
      <c r="BB97" s="3"/>
    </row>
    <row r="98" spans="2:54" x14ac:dyDescent="0.3">
      <c r="B98" s="5"/>
      <c r="C98" s="1"/>
      <c r="D98" s="2"/>
      <c r="E98" s="7"/>
      <c r="F98" s="3"/>
      <c r="G98" s="3"/>
      <c r="H98" s="1"/>
      <c r="I98" s="3"/>
      <c r="J98" s="1"/>
      <c r="K98" s="3"/>
      <c r="Q98" s="5"/>
      <c r="R98" s="1"/>
      <c r="S98" s="2"/>
      <c r="U98" s="3"/>
      <c r="V98" s="3"/>
      <c r="W98" s="1"/>
      <c r="X98" s="3"/>
      <c r="Y98" s="1"/>
      <c r="Z98" s="3"/>
      <c r="AE98" s="5"/>
      <c r="AF98" s="1"/>
      <c r="AG98" s="2"/>
      <c r="AI98" s="3"/>
      <c r="AJ98" s="3"/>
      <c r="AK98" s="1"/>
      <c r="AL98" s="3"/>
      <c r="AM98" s="1"/>
      <c r="AN98" s="3"/>
      <c r="AS98" s="5"/>
      <c r="AT98" s="1"/>
      <c r="AU98" s="2"/>
      <c r="AW98" s="3"/>
      <c r="AX98" s="3"/>
      <c r="AY98" s="1"/>
      <c r="AZ98" s="3"/>
      <c r="BA98" s="5"/>
      <c r="BB98" s="3"/>
    </row>
    <row r="99" spans="2:54" x14ac:dyDescent="0.3">
      <c r="B99" s="5"/>
      <c r="C99" s="1"/>
      <c r="D99" s="2"/>
      <c r="E99" s="7"/>
      <c r="F99" s="3"/>
      <c r="G99" s="3"/>
      <c r="H99" s="1"/>
      <c r="I99" s="3"/>
      <c r="J99" s="1"/>
      <c r="K99" s="3"/>
      <c r="Q99" s="5"/>
      <c r="R99" s="1"/>
      <c r="S99" s="2"/>
      <c r="U99" s="3"/>
      <c r="V99" s="3"/>
      <c r="W99" s="1"/>
      <c r="X99" s="3"/>
      <c r="Y99" s="1"/>
      <c r="Z99" s="3"/>
      <c r="AE99" s="5"/>
      <c r="AF99" s="1"/>
      <c r="AG99" s="2"/>
      <c r="AI99" s="3"/>
      <c r="AJ99" s="3"/>
      <c r="AK99" s="1"/>
      <c r="AL99" s="3"/>
      <c r="AM99" s="1"/>
      <c r="AN99" s="3"/>
      <c r="AS99" s="5"/>
      <c r="AT99" s="1"/>
      <c r="AU99" s="2"/>
      <c r="AW99" s="3"/>
      <c r="AX99" s="3"/>
      <c r="AY99" s="1"/>
      <c r="AZ99" s="3"/>
      <c r="BA99" s="5"/>
      <c r="BB99" s="3"/>
    </row>
    <row r="100" spans="2:54" x14ac:dyDescent="0.3">
      <c r="B100" s="5"/>
      <c r="C100" s="1"/>
      <c r="D100" s="2"/>
      <c r="E100" s="7"/>
      <c r="F100" s="3"/>
      <c r="G100" s="3"/>
      <c r="H100" s="1"/>
      <c r="I100" s="3"/>
      <c r="J100" s="1"/>
      <c r="K100" s="3"/>
      <c r="Q100" s="5"/>
      <c r="R100" s="1"/>
      <c r="S100" s="2"/>
      <c r="U100" s="3"/>
      <c r="V100" s="3"/>
      <c r="W100" s="1"/>
      <c r="X100" s="3"/>
      <c r="Y100" s="1"/>
      <c r="Z100" s="3"/>
      <c r="AE100" s="5"/>
      <c r="AF100" s="1"/>
      <c r="AG100" s="2"/>
      <c r="AI100" s="3"/>
      <c r="AJ100" s="3"/>
      <c r="AK100" s="1"/>
      <c r="AL100" s="3"/>
      <c r="AM100" s="1"/>
      <c r="AN100" s="3"/>
      <c r="AS100" s="5"/>
      <c r="AT100" s="1"/>
      <c r="AU100" s="2"/>
      <c r="AW100" s="3"/>
      <c r="AX100" s="3"/>
      <c r="AY100" s="1"/>
      <c r="AZ100" s="3"/>
      <c r="BA100" s="5"/>
      <c r="BB100" s="3"/>
    </row>
    <row r="101" spans="2:54" x14ac:dyDescent="0.3">
      <c r="B101" s="5"/>
      <c r="C101" s="1"/>
      <c r="D101" s="2"/>
      <c r="E101" s="7"/>
      <c r="F101" s="3"/>
      <c r="G101" s="3"/>
      <c r="H101" s="1"/>
      <c r="I101" s="3"/>
      <c r="J101" s="1"/>
      <c r="K101" s="3"/>
      <c r="Q101" s="5"/>
      <c r="R101" s="1"/>
      <c r="S101" s="2"/>
      <c r="U101" s="3"/>
      <c r="V101" s="3"/>
      <c r="W101" s="1"/>
      <c r="X101" s="3"/>
      <c r="Y101" s="1"/>
      <c r="Z101" s="3"/>
      <c r="AE101" s="5"/>
      <c r="AF101" s="1"/>
      <c r="AG101" s="2"/>
      <c r="AI101" s="3"/>
      <c r="AJ101" s="3"/>
      <c r="AK101" s="1"/>
      <c r="AL101" s="3"/>
      <c r="AM101" s="1"/>
      <c r="AN101" s="3"/>
      <c r="AS101" s="5"/>
      <c r="AT101" s="1"/>
      <c r="AU101" s="2"/>
      <c r="AW101" s="3"/>
      <c r="AX101" s="3"/>
      <c r="AY101" s="1"/>
      <c r="AZ101" s="3"/>
      <c r="BA101" s="5"/>
      <c r="BB101" s="3"/>
    </row>
    <row r="102" spans="2:54" x14ac:dyDescent="0.3">
      <c r="B102" s="5"/>
      <c r="C102" s="1"/>
      <c r="D102" s="2"/>
      <c r="E102" s="7"/>
      <c r="F102" s="3"/>
      <c r="G102" s="3"/>
      <c r="H102" s="1"/>
      <c r="I102" s="3"/>
      <c r="J102" s="1"/>
      <c r="K102" s="3"/>
      <c r="Q102" s="5"/>
      <c r="R102" s="1"/>
      <c r="S102" s="2"/>
      <c r="U102" s="3"/>
      <c r="V102" s="3"/>
      <c r="W102" s="1"/>
      <c r="X102" s="3"/>
      <c r="Y102" s="1"/>
      <c r="Z102" s="3"/>
      <c r="AE102" s="5"/>
      <c r="AF102" s="1"/>
      <c r="AG102" s="2"/>
      <c r="AI102" s="3"/>
      <c r="AJ102" s="3"/>
      <c r="AK102" s="1"/>
      <c r="AL102" s="3"/>
      <c r="AM102" s="1"/>
      <c r="AN102" s="3"/>
      <c r="AS102" s="5"/>
      <c r="AT102" s="1"/>
      <c r="AU102" s="2"/>
      <c r="AW102" s="3"/>
      <c r="AX102" s="3"/>
      <c r="AY102" s="1"/>
      <c r="AZ102" s="3"/>
      <c r="BA102" s="5"/>
      <c r="BB102" s="3"/>
    </row>
    <row r="103" spans="2:54" x14ac:dyDescent="0.3">
      <c r="B103" s="5"/>
      <c r="C103" s="1"/>
      <c r="D103" s="2"/>
      <c r="E103" s="7"/>
      <c r="F103" s="3"/>
      <c r="G103" s="3"/>
      <c r="H103" s="1"/>
      <c r="I103" s="3"/>
      <c r="J103" s="1"/>
      <c r="K103" s="3"/>
      <c r="Q103" s="5"/>
      <c r="R103" s="1"/>
      <c r="S103" s="2"/>
      <c r="U103" s="3"/>
      <c r="V103" s="3"/>
      <c r="W103" s="1"/>
      <c r="X103" s="3"/>
      <c r="Y103" s="1"/>
      <c r="Z103" s="3"/>
      <c r="AE103" s="5"/>
      <c r="AF103" s="1"/>
      <c r="AG103" s="2"/>
      <c r="AI103" s="3"/>
      <c r="AJ103" s="3"/>
      <c r="AK103" s="1"/>
      <c r="AL103" s="3"/>
      <c r="AM103" s="1"/>
      <c r="AN103" s="3"/>
      <c r="AS103" s="5"/>
      <c r="AT103" s="1"/>
      <c r="AU103" s="2"/>
      <c r="AW103" s="3"/>
      <c r="AX103" s="3"/>
      <c r="AY103" s="1"/>
      <c r="AZ103" s="3"/>
      <c r="BA103" s="5"/>
      <c r="BB103" s="3"/>
    </row>
    <row r="104" spans="2:54" x14ac:dyDescent="0.3">
      <c r="B104" s="5"/>
      <c r="C104" s="1"/>
      <c r="D104" s="2"/>
      <c r="E104" s="7"/>
      <c r="F104" s="3"/>
      <c r="G104" s="3"/>
      <c r="H104" s="1"/>
      <c r="I104" s="3"/>
      <c r="J104" s="1"/>
      <c r="K104" s="3"/>
      <c r="Q104" s="5"/>
      <c r="R104" s="1"/>
      <c r="S104" s="2"/>
      <c r="U104" s="3"/>
      <c r="V104" s="3"/>
      <c r="W104" s="1"/>
      <c r="X104" s="3"/>
      <c r="Y104" s="1"/>
      <c r="Z104" s="3"/>
      <c r="AE104" s="5"/>
      <c r="AF104" s="1"/>
      <c r="AG104" s="2"/>
      <c r="AI104" s="3"/>
      <c r="AJ104" s="3"/>
      <c r="AK104" s="1"/>
      <c r="AL104" s="3"/>
      <c r="AM104" s="1"/>
      <c r="AN104" s="3"/>
      <c r="AS104" s="5"/>
      <c r="AT104" s="1"/>
      <c r="AU104" s="2"/>
      <c r="AW104" s="3"/>
      <c r="AX104" s="3"/>
      <c r="AY104" s="1"/>
      <c r="AZ104" s="3"/>
      <c r="BA104" s="5"/>
      <c r="BB104" s="3"/>
    </row>
    <row r="105" spans="2:54" x14ac:dyDescent="0.3">
      <c r="B105" s="5"/>
      <c r="C105" s="1"/>
      <c r="D105" s="2"/>
      <c r="E105" s="7"/>
      <c r="F105" s="3"/>
      <c r="G105" s="3"/>
      <c r="H105" s="1"/>
      <c r="I105" s="3"/>
      <c r="J105" s="1"/>
      <c r="K105" s="3"/>
      <c r="Q105" s="5"/>
      <c r="R105" s="1"/>
      <c r="S105" s="2"/>
      <c r="U105" s="3"/>
      <c r="V105" s="3"/>
      <c r="W105" s="1"/>
      <c r="X105" s="3"/>
      <c r="Y105" s="1"/>
      <c r="Z105" s="3"/>
      <c r="AE105" s="5"/>
      <c r="AF105" s="1"/>
      <c r="AG105" s="2"/>
      <c r="AI105" s="3"/>
      <c r="AJ105" s="3"/>
      <c r="AK105" s="1"/>
      <c r="AL105" s="3"/>
      <c r="AM105" s="1"/>
      <c r="AN105" s="3"/>
      <c r="AS105" s="5"/>
      <c r="AT105" s="1"/>
      <c r="AU105" s="2"/>
      <c r="AW105" s="3"/>
      <c r="AX105" s="3"/>
      <c r="AY105" s="1"/>
      <c r="AZ105" s="3"/>
      <c r="BA105" s="5"/>
      <c r="BB105" s="3"/>
    </row>
    <row r="106" spans="2:54" x14ac:dyDescent="0.3">
      <c r="B106" s="5"/>
      <c r="C106" s="1"/>
      <c r="D106" s="2"/>
      <c r="E106" s="7"/>
      <c r="F106" s="3"/>
      <c r="G106" s="3"/>
      <c r="H106" s="1"/>
      <c r="I106" s="3"/>
      <c r="J106" s="1"/>
      <c r="K106" s="3"/>
      <c r="Q106" s="5"/>
      <c r="R106" s="1"/>
      <c r="S106" s="2"/>
      <c r="U106" s="3"/>
      <c r="V106" s="3"/>
      <c r="W106" s="1"/>
      <c r="X106" s="3"/>
      <c r="Y106" s="1"/>
      <c r="Z106" s="3"/>
      <c r="AE106" s="5"/>
      <c r="AF106" s="1"/>
      <c r="AG106" s="2"/>
      <c r="AI106" s="3"/>
      <c r="AJ106" s="3"/>
      <c r="AK106" s="1"/>
      <c r="AL106" s="3"/>
      <c r="AM106" s="1"/>
      <c r="AN106" s="3"/>
      <c r="AS106" s="5"/>
      <c r="AT106" s="1"/>
      <c r="AU106" s="2"/>
      <c r="AW106" s="3"/>
      <c r="AX106" s="3"/>
      <c r="AY106" s="1"/>
      <c r="AZ106" s="3"/>
      <c r="BA106" s="5"/>
      <c r="BB106" s="3"/>
    </row>
    <row r="107" spans="2:54" x14ac:dyDescent="0.3">
      <c r="B107" s="5"/>
      <c r="C107" s="1"/>
      <c r="D107" s="2"/>
      <c r="E107" s="7"/>
      <c r="F107" s="3"/>
      <c r="G107" s="3"/>
      <c r="H107" s="1"/>
      <c r="I107" s="3"/>
      <c r="J107" s="1"/>
      <c r="K107" s="3"/>
      <c r="Q107" s="5"/>
      <c r="R107" s="1"/>
      <c r="S107" s="2"/>
      <c r="U107" s="3"/>
      <c r="V107" s="3"/>
      <c r="W107" s="1"/>
      <c r="X107" s="3"/>
      <c r="Y107" s="1"/>
      <c r="Z107" s="3"/>
      <c r="AE107" s="5"/>
      <c r="AF107" s="1"/>
      <c r="AG107" s="2"/>
      <c r="AI107" s="3"/>
      <c r="AJ107" s="3"/>
      <c r="AK107" s="1"/>
      <c r="AL107" s="3"/>
      <c r="AM107" s="1"/>
      <c r="AN107" s="3"/>
      <c r="AS107" s="5"/>
      <c r="AT107" s="1"/>
      <c r="AU107" s="2"/>
      <c r="AW107" s="3"/>
      <c r="AX107" s="3"/>
      <c r="AY107" s="1"/>
      <c r="AZ107" s="3"/>
      <c r="BA107" s="5"/>
      <c r="BB107" s="3"/>
    </row>
    <row r="108" spans="2:54" x14ac:dyDescent="0.3">
      <c r="B108" s="5"/>
      <c r="C108" s="1"/>
      <c r="D108" s="2"/>
      <c r="E108" s="7"/>
      <c r="F108" s="3"/>
      <c r="G108" s="3"/>
      <c r="H108" s="1"/>
      <c r="I108" s="3"/>
      <c r="J108" s="1"/>
      <c r="K108" s="3"/>
      <c r="Q108" s="5"/>
      <c r="R108" s="1"/>
      <c r="S108" s="2"/>
      <c r="U108" s="3"/>
      <c r="V108" s="3"/>
      <c r="W108" s="1"/>
      <c r="X108" s="3"/>
      <c r="Y108" s="1"/>
      <c r="Z108" s="3"/>
      <c r="AE108" s="5"/>
      <c r="AF108" s="1"/>
      <c r="AG108" s="2"/>
      <c r="AI108" s="3"/>
      <c r="AJ108" s="3"/>
      <c r="AK108" s="1"/>
      <c r="AL108" s="3"/>
      <c r="AM108" s="1"/>
      <c r="AN108" s="3"/>
      <c r="AS108" s="5"/>
      <c r="AT108" s="1"/>
      <c r="AU108" s="2"/>
      <c r="AW108" s="3"/>
      <c r="AX108" s="3"/>
      <c r="AY108" s="1"/>
      <c r="AZ108" s="3"/>
      <c r="BA108" s="5"/>
      <c r="BB108" s="3"/>
    </row>
    <row r="109" spans="2:54" x14ac:dyDescent="0.3">
      <c r="B109" s="5"/>
      <c r="C109" s="1"/>
      <c r="D109" s="2"/>
      <c r="E109" s="7"/>
      <c r="F109" s="3"/>
      <c r="G109" s="3"/>
      <c r="H109" s="1"/>
      <c r="I109" s="3"/>
      <c r="J109" s="1"/>
      <c r="K109" s="3"/>
      <c r="Q109" s="5"/>
      <c r="R109" s="1"/>
      <c r="S109" s="2"/>
      <c r="U109" s="3"/>
      <c r="V109" s="3"/>
      <c r="W109" s="1"/>
      <c r="X109" s="3"/>
      <c r="Y109" s="1"/>
      <c r="Z109" s="3"/>
      <c r="AE109" s="5"/>
      <c r="AF109" s="1"/>
      <c r="AG109" s="2"/>
      <c r="AI109" s="3"/>
      <c r="AJ109" s="3"/>
      <c r="AK109" s="1"/>
      <c r="AL109" s="3"/>
      <c r="AM109" s="1"/>
      <c r="AN109" s="3"/>
      <c r="AS109" s="5"/>
      <c r="AT109" s="1"/>
      <c r="AU109" s="2"/>
      <c r="AW109" s="3"/>
      <c r="AX109" s="3"/>
      <c r="AY109" s="1"/>
      <c r="AZ109" s="3"/>
      <c r="BA109" s="5"/>
      <c r="BB109" s="3"/>
    </row>
    <row r="110" spans="2:54" x14ac:dyDescent="0.3">
      <c r="B110" s="5"/>
      <c r="C110" s="1"/>
      <c r="D110" s="2"/>
      <c r="E110" s="7"/>
      <c r="F110" s="3"/>
      <c r="G110" s="3"/>
      <c r="H110" s="1"/>
      <c r="I110" s="3"/>
      <c r="J110" s="1"/>
      <c r="K110" s="3"/>
      <c r="Q110" s="5"/>
      <c r="R110" s="1"/>
      <c r="S110" s="2"/>
      <c r="U110" s="3"/>
      <c r="V110" s="3"/>
      <c r="W110" s="1"/>
      <c r="X110" s="3"/>
      <c r="Y110" s="1"/>
      <c r="Z110" s="3"/>
      <c r="AE110" s="5"/>
      <c r="AF110" s="1"/>
      <c r="AG110" s="2"/>
      <c r="AI110" s="3"/>
      <c r="AJ110" s="3"/>
      <c r="AK110" s="1"/>
      <c r="AL110" s="3"/>
      <c r="AM110" s="1"/>
      <c r="AN110" s="3"/>
      <c r="AS110" s="5"/>
      <c r="AT110" s="1"/>
      <c r="AU110" s="2"/>
      <c r="AW110" s="3"/>
      <c r="AX110" s="3"/>
      <c r="AY110" s="1"/>
      <c r="AZ110" s="3"/>
      <c r="BA110" s="5"/>
      <c r="BB110" s="3"/>
    </row>
    <row r="111" spans="2:54" x14ac:dyDescent="0.3">
      <c r="B111" s="5"/>
      <c r="C111" s="1"/>
      <c r="D111" s="2"/>
      <c r="E111" s="7"/>
      <c r="F111" s="3"/>
      <c r="G111" s="3"/>
      <c r="H111" s="1"/>
      <c r="I111" s="3"/>
      <c r="J111" s="1"/>
      <c r="K111" s="3"/>
      <c r="Q111" s="5"/>
      <c r="R111" s="1"/>
      <c r="S111" s="2"/>
      <c r="U111" s="3"/>
      <c r="V111" s="3"/>
      <c r="W111" s="1"/>
      <c r="X111" s="3"/>
      <c r="Y111" s="1"/>
      <c r="Z111" s="3"/>
      <c r="AE111" s="5"/>
      <c r="AF111" s="1"/>
      <c r="AG111" s="2"/>
      <c r="AI111" s="3"/>
      <c r="AJ111" s="3"/>
      <c r="AK111" s="1"/>
      <c r="AL111" s="3"/>
      <c r="AM111" s="1"/>
      <c r="AN111" s="3"/>
      <c r="AS111" s="5"/>
      <c r="AT111" s="1"/>
      <c r="AU111" s="2"/>
      <c r="AW111" s="3"/>
      <c r="AX111" s="3"/>
      <c r="AY111" s="1"/>
      <c r="AZ111" s="3"/>
      <c r="BA111" s="5"/>
      <c r="BB111" s="3"/>
    </row>
    <row r="112" spans="2:54" x14ac:dyDescent="0.3">
      <c r="B112" s="5"/>
      <c r="C112" s="1"/>
      <c r="D112" s="2"/>
      <c r="E112" s="7"/>
      <c r="F112" s="3"/>
      <c r="G112" s="3"/>
      <c r="H112" s="1"/>
      <c r="I112" s="3"/>
      <c r="J112" s="1"/>
      <c r="K112" s="3"/>
      <c r="Q112" s="5"/>
      <c r="R112" s="1"/>
      <c r="S112" s="2"/>
      <c r="U112" s="3"/>
      <c r="V112" s="3"/>
      <c r="W112" s="1"/>
      <c r="X112" s="3"/>
      <c r="Y112" s="1"/>
      <c r="Z112" s="3"/>
      <c r="AE112" s="5"/>
      <c r="AF112" s="1"/>
      <c r="AG112" s="2"/>
      <c r="AI112" s="3"/>
      <c r="AJ112" s="3"/>
      <c r="AK112" s="1"/>
      <c r="AL112" s="3"/>
      <c r="AM112" s="1"/>
      <c r="AN112" s="3"/>
      <c r="AS112" s="5"/>
      <c r="AT112" s="1"/>
      <c r="AU112" s="2"/>
      <c r="AW112" s="3"/>
      <c r="AX112" s="3"/>
      <c r="AY112" s="1"/>
      <c r="AZ112" s="3"/>
      <c r="BA112" s="5"/>
      <c r="BB112" s="3"/>
    </row>
    <row r="113" spans="2:54" x14ac:dyDescent="0.3">
      <c r="B113" s="5"/>
      <c r="C113" s="1"/>
      <c r="D113" s="2"/>
      <c r="E113" s="7"/>
      <c r="F113" s="3"/>
      <c r="G113" s="3"/>
      <c r="H113" s="1"/>
      <c r="I113" s="3"/>
      <c r="J113" s="1"/>
      <c r="K113" s="3"/>
      <c r="Q113" s="5"/>
      <c r="R113" s="1"/>
      <c r="S113" s="2"/>
      <c r="U113" s="3"/>
      <c r="V113" s="3"/>
      <c r="W113" s="1"/>
      <c r="X113" s="3"/>
      <c r="Y113" s="1"/>
      <c r="Z113" s="3"/>
      <c r="AE113" s="5"/>
      <c r="AF113" s="1"/>
      <c r="AG113" s="2"/>
      <c r="AI113" s="3"/>
      <c r="AJ113" s="3"/>
      <c r="AK113" s="1"/>
      <c r="AL113" s="3"/>
      <c r="AM113" s="1"/>
      <c r="AN113" s="3"/>
      <c r="AS113" s="5"/>
      <c r="AT113" s="1"/>
      <c r="AU113" s="2"/>
      <c r="AW113" s="3"/>
      <c r="AX113" s="3"/>
      <c r="AY113" s="1"/>
      <c r="AZ113" s="3"/>
      <c r="BA113" s="5"/>
      <c r="BB113" s="3"/>
    </row>
    <row r="114" spans="2:54" x14ac:dyDescent="0.3">
      <c r="B114" s="5"/>
      <c r="C114" s="1"/>
      <c r="D114" s="2"/>
      <c r="E114" s="7"/>
      <c r="F114" s="3"/>
      <c r="G114" s="3"/>
      <c r="H114" s="1"/>
      <c r="I114" s="3"/>
      <c r="J114" s="1"/>
      <c r="K114" s="3"/>
      <c r="Q114" s="5"/>
      <c r="R114" s="1"/>
      <c r="S114" s="2"/>
      <c r="U114" s="3"/>
      <c r="V114" s="3"/>
      <c r="W114" s="1"/>
      <c r="X114" s="3"/>
      <c r="Y114" s="1"/>
      <c r="Z114" s="3"/>
      <c r="AE114" s="5"/>
      <c r="AF114" s="1"/>
      <c r="AG114" s="2"/>
      <c r="AI114" s="3"/>
      <c r="AJ114" s="3"/>
      <c r="AK114" s="1"/>
      <c r="AL114" s="3"/>
      <c r="AM114" s="1"/>
      <c r="AN114" s="3"/>
      <c r="AS114" s="5"/>
      <c r="AT114" s="1"/>
      <c r="AU114" s="2"/>
      <c r="AW114" s="3"/>
      <c r="AX114" s="3"/>
      <c r="AY114" s="1"/>
      <c r="AZ114" s="3"/>
      <c r="BA114" s="5"/>
      <c r="BB114" s="3"/>
    </row>
    <row r="115" spans="2:54" x14ac:dyDescent="0.3">
      <c r="B115" s="5"/>
      <c r="C115" s="1"/>
      <c r="D115" s="2"/>
      <c r="E115" s="7"/>
      <c r="F115" s="3"/>
      <c r="G115" s="3"/>
      <c r="H115" s="1"/>
      <c r="I115" s="3"/>
      <c r="J115" s="1"/>
      <c r="K115" s="3"/>
      <c r="Q115" s="5"/>
      <c r="R115" s="1"/>
      <c r="S115" s="2"/>
      <c r="U115" s="3"/>
      <c r="V115" s="3"/>
      <c r="W115" s="1"/>
      <c r="X115" s="3"/>
      <c r="Y115" s="1"/>
      <c r="Z115" s="3"/>
      <c r="AE115" s="5"/>
      <c r="AF115" s="1"/>
      <c r="AG115" s="2"/>
      <c r="AI115" s="3"/>
      <c r="AJ115" s="3"/>
      <c r="AK115" s="1"/>
      <c r="AL115" s="3"/>
      <c r="AM115" s="1"/>
      <c r="AN115" s="3"/>
      <c r="AS115" s="5"/>
      <c r="AT115" s="1"/>
      <c r="AU115" s="2"/>
      <c r="AW115" s="3"/>
      <c r="AX115" s="3"/>
      <c r="AY115" s="1"/>
      <c r="AZ115" s="3"/>
      <c r="BA115" s="5"/>
      <c r="BB115" s="3"/>
    </row>
    <row r="116" spans="2:54" x14ac:dyDescent="0.3">
      <c r="B116" s="5"/>
      <c r="C116" s="1"/>
      <c r="D116" s="2"/>
      <c r="E116" s="7"/>
      <c r="F116" s="3"/>
      <c r="G116" s="3"/>
      <c r="H116" s="1"/>
      <c r="I116" s="3"/>
      <c r="J116" s="1"/>
      <c r="K116" s="3"/>
      <c r="Q116" s="5"/>
      <c r="R116" s="1"/>
      <c r="S116" s="2"/>
      <c r="U116" s="3"/>
      <c r="V116" s="3"/>
      <c r="W116" s="1"/>
      <c r="X116" s="3"/>
      <c r="Y116" s="1"/>
      <c r="Z116" s="3"/>
      <c r="AE116" s="5"/>
      <c r="AF116" s="1"/>
      <c r="AG116" s="2"/>
      <c r="AI116" s="3"/>
      <c r="AJ116" s="3"/>
      <c r="AK116" s="1"/>
      <c r="AL116" s="3"/>
      <c r="AM116" s="1"/>
      <c r="AN116" s="3"/>
      <c r="AS116" s="5"/>
      <c r="AT116" s="1"/>
      <c r="AU116" s="2"/>
      <c r="AW116" s="3"/>
      <c r="AX116" s="3"/>
      <c r="AY116" s="1"/>
      <c r="AZ116" s="3"/>
      <c r="BA116" s="5"/>
      <c r="BB116" s="3"/>
    </row>
    <row r="117" spans="2:54" x14ac:dyDescent="0.3">
      <c r="B117" s="5"/>
      <c r="C117" s="1"/>
      <c r="D117" s="2"/>
      <c r="E117" s="7"/>
      <c r="F117" s="3"/>
      <c r="G117" s="3"/>
      <c r="H117" s="1"/>
      <c r="I117" s="3"/>
      <c r="J117" s="1"/>
      <c r="K117" s="3"/>
      <c r="Q117" s="5"/>
      <c r="R117" s="1"/>
      <c r="S117" s="2"/>
      <c r="U117" s="3"/>
      <c r="V117" s="3"/>
      <c r="W117" s="1"/>
      <c r="X117" s="3"/>
      <c r="Y117" s="1"/>
      <c r="Z117" s="3"/>
      <c r="AE117" s="5"/>
      <c r="AF117" s="1"/>
      <c r="AG117" s="2"/>
      <c r="AI117" s="3"/>
      <c r="AJ117" s="3"/>
      <c r="AK117" s="1"/>
      <c r="AL117" s="3"/>
      <c r="AM117" s="1"/>
      <c r="AN117" s="3"/>
      <c r="AS117" s="5"/>
      <c r="AT117" s="1"/>
      <c r="AU117" s="2"/>
      <c r="AW117" s="3"/>
      <c r="AX117" s="3"/>
      <c r="AY117" s="1"/>
      <c r="AZ117" s="3"/>
      <c r="BA117" s="5"/>
      <c r="BB117" s="3"/>
    </row>
    <row r="118" spans="2:54" x14ac:dyDescent="0.3">
      <c r="B118" s="5"/>
      <c r="C118" s="1"/>
      <c r="D118" s="2"/>
      <c r="E118" s="7"/>
      <c r="F118" s="3"/>
      <c r="G118" s="3"/>
      <c r="H118" s="1"/>
      <c r="I118" s="3"/>
      <c r="J118" s="1"/>
      <c r="K118" s="3"/>
      <c r="Q118" s="5"/>
      <c r="R118" s="1"/>
      <c r="S118" s="2"/>
      <c r="U118" s="3"/>
      <c r="V118" s="3"/>
      <c r="W118" s="1"/>
      <c r="X118" s="3"/>
      <c r="Y118" s="1"/>
      <c r="Z118" s="3"/>
      <c r="AE118" s="5"/>
      <c r="AF118" s="1"/>
      <c r="AG118" s="2"/>
      <c r="AI118" s="3"/>
      <c r="AJ118" s="3"/>
      <c r="AK118" s="1"/>
      <c r="AL118" s="3"/>
      <c r="AM118" s="1"/>
      <c r="AN118" s="3"/>
      <c r="AS118" s="5"/>
      <c r="AT118" s="1"/>
      <c r="AU118" s="2"/>
      <c r="AW118" s="3"/>
      <c r="AX118" s="3"/>
      <c r="AY118" s="1"/>
      <c r="AZ118" s="3"/>
      <c r="BA118" s="5"/>
      <c r="BB118" s="3"/>
    </row>
    <row r="119" spans="2:54" x14ac:dyDescent="0.3">
      <c r="B119" s="5"/>
      <c r="C119" s="1"/>
      <c r="D119" s="2"/>
      <c r="E119" s="7"/>
      <c r="F119" s="3"/>
      <c r="G119" s="3"/>
      <c r="H119" s="1"/>
      <c r="I119" s="3"/>
      <c r="J119" s="1"/>
      <c r="K119" s="3"/>
      <c r="Q119" s="5"/>
      <c r="R119" s="1"/>
      <c r="S119" s="2"/>
      <c r="U119" s="3"/>
      <c r="V119" s="3"/>
      <c r="W119" s="1"/>
      <c r="X119" s="3"/>
      <c r="Y119" s="1"/>
      <c r="Z119" s="3"/>
      <c r="AE119" s="5"/>
      <c r="AF119" s="1"/>
      <c r="AG119" s="2"/>
      <c r="AI119" s="3"/>
      <c r="AJ119" s="3"/>
      <c r="AK119" s="1"/>
      <c r="AL119" s="3"/>
      <c r="AM119" s="1"/>
      <c r="AN119" s="3"/>
      <c r="AS119" s="5"/>
      <c r="AT119" s="1"/>
      <c r="AU119" s="2"/>
      <c r="AW119" s="3"/>
      <c r="AX119" s="3"/>
      <c r="AY119" s="1"/>
      <c r="AZ119" s="3"/>
      <c r="BA119" s="5"/>
      <c r="BB119" s="3"/>
    </row>
    <row r="120" spans="2:54" x14ac:dyDescent="0.3">
      <c r="B120" s="5"/>
      <c r="C120" s="1"/>
      <c r="D120" s="2"/>
      <c r="E120" s="7"/>
      <c r="F120" s="3"/>
      <c r="G120" s="3"/>
      <c r="H120" s="1"/>
      <c r="I120" s="3"/>
      <c r="J120" s="1"/>
      <c r="K120" s="3"/>
      <c r="Q120" s="5"/>
      <c r="R120" s="1"/>
      <c r="S120" s="2"/>
      <c r="U120" s="3"/>
      <c r="V120" s="3"/>
      <c r="W120" s="1"/>
      <c r="X120" s="3"/>
      <c r="Y120" s="1"/>
      <c r="Z120" s="3"/>
      <c r="AE120" s="5"/>
      <c r="AF120" s="1"/>
      <c r="AG120" s="2"/>
      <c r="AI120" s="3"/>
      <c r="AJ120" s="3"/>
      <c r="AK120" s="1"/>
      <c r="AL120" s="3"/>
      <c r="AM120" s="1"/>
      <c r="AN120" s="3"/>
      <c r="AS120" s="5"/>
      <c r="AT120" s="1"/>
      <c r="AU120" s="2"/>
      <c r="AW120" s="3"/>
      <c r="AX120" s="3"/>
      <c r="AY120" s="1"/>
      <c r="AZ120" s="3"/>
      <c r="BA120" s="5"/>
      <c r="BB120" s="3"/>
    </row>
    <row r="121" spans="2:54" x14ac:dyDescent="0.3">
      <c r="B121" s="5"/>
      <c r="C121" s="1"/>
      <c r="D121" s="2"/>
      <c r="E121" s="7"/>
      <c r="F121" s="3"/>
      <c r="G121" s="3"/>
      <c r="H121" s="1"/>
      <c r="I121" s="3"/>
      <c r="J121" s="1"/>
      <c r="K121" s="3"/>
      <c r="Q121" s="5"/>
      <c r="R121" s="1"/>
      <c r="S121" s="2"/>
      <c r="U121" s="3"/>
      <c r="V121" s="3"/>
      <c r="W121" s="1"/>
      <c r="X121" s="3"/>
      <c r="Y121" s="1"/>
      <c r="Z121" s="3"/>
      <c r="AE121" s="5"/>
      <c r="AF121" s="1"/>
      <c r="AG121" s="2"/>
      <c r="AI121" s="3"/>
      <c r="AJ121" s="3"/>
      <c r="AK121" s="1"/>
      <c r="AL121" s="3"/>
      <c r="AM121" s="1"/>
      <c r="AN121" s="3"/>
      <c r="AS121" s="5"/>
      <c r="AT121" s="1"/>
      <c r="AU121" s="2"/>
      <c r="AW121" s="3"/>
      <c r="AX121" s="3"/>
      <c r="AY121" s="1"/>
      <c r="AZ121" s="3"/>
      <c r="BA121" s="5"/>
      <c r="BB121" s="3"/>
    </row>
    <row r="122" spans="2:54" x14ac:dyDescent="0.3">
      <c r="B122" s="5"/>
      <c r="C122" s="1"/>
      <c r="D122" s="2"/>
      <c r="E122" s="7"/>
      <c r="F122" s="3"/>
      <c r="G122" s="3"/>
      <c r="H122" s="1"/>
      <c r="I122" s="3"/>
      <c r="J122" s="1"/>
      <c r="K122" s="3"/>
      <c r="Q122" s="5"/>
      <c r="R122" s="1"/>
      <c r="S122" s="2"/>
      <c r="U122" s="3"/>
      <c r="V122" s="3"/>
      <c r="W122" s="1"/>
      <c r="X122" s="3"/>
      <c r="Y122" s="1"/>
      <c r="Z122" s="3"/>
      <c r="AE122" s="5"/>
      <c r="AF122" s="1"/>
      <c r="AG122" s="2"/>
      <c r="AI122" s="3"/>
      <c r="AJ122" s="3"/>
      <c r="AK122" s="1"/>
      <c r="AL122" s="3"/>
      <c r="AM122" s="1"/>
      <c r="AN122" s="3"/>
      <c r="AS122" s="5"/>
      <c r="AT122" s="1"/>
      <c r="AU122" s="2"/>
      <c r="AW122" s="3"/>
      <c r="AX122" s="3"/>
      <c r="AY122" s="1"/>
      <c r="AZ122" s="3"/>
      <c r="BA122" s="5"/>
      <c r="BB122" s="3"/>
    </row>
    <row r="123" spans="2:54" x14ac:dyDescent="0.3">
      <c r="B123" s="5"/>
      <c r="C123" s="1"/>
      <c r="D123" s="2"/>
      <c r="E123" s="7"/>
      <c r="F123" s="3"/>
      <c r="G123" s="3"/>
      <c r="H123" s="1"/>
      <c r="I123" s="3"/>
      <c r="J123" s="1"/>
      <c r="K123" s="3"/>
      <c r="Q123" s="5"/>
      <c r="R123" s="1"/>
      <c r="S123" s="2"/>
      <c r="U123" s="3"/>
      <c r="V123" s="3"/>
      <c r="W123" s="1"/>
      <c r="X123" s="3"/>
      <c r="Y123" s="1"/>
      <c r="Z123" s="3"/>
      <c r="AE123" s="5"/>
      <c r="AF123" s="1"/>
      <c r="AG123" s="2"/>
      <c r="AI123" s="3"/>
      <c r="AJ123" s="3"/>
      <c r="AK123" s="1"/>
      <c r="AL123" s="3"/>
      <c r="AM123" s="1"/>
      <c r="AN123" s="3"/>
      <c r="AS123" s="5"/>
      <c r="AT123" s="1"/>
      <c r="AU123" s="2"/>
      <c r="AW123" s="3"/>
      <c r="AX123" s="3"/>
      <c r="AY123" s="1"/>
      <c r="AZ123" s="3"/>
      <c r="BA123" s="5"/>
      <c r="BB123" s="3"/>
    </row>
    <row r="124" spans="2:54" x14ac:dyDescent="0.3">
      <c r="B124" s="5"/>
      <c r="C124" s="1"/>
      <c r="D124" s="2"/>
      <c r="E124" s="7"/>
      <c r="F124" s="3"/>
      <c r="G124" s="3"/>
      <c r="H124" s="1"/>
      <c r="I124" s="3"/>
      <c r="J124" s="1"/>
      <c r="K124" s="3"/>
      <c r="Q124" s="5"/>
      <c r="R124" s="1"/>
      <c r="S124" s="2"/>
      <c r="U124" s="3"/>
      <c r="V124" s="3"/>
      <c r="W124" s="1"/>
      <c r="X124" s="3"/>
      <c r="Y124" s="1"/>
      <c r="Z124" s="3"/>
      <c r="AE124" s="5"/>
      <c r="AF124" s="1"/>
      <c r="AG124" s="2"/>
      <c r="AI124" s="3"/>
      <c r="AJ124" s="3"/>
      <c r="AK124" s="1"/>
      <c r="AL124" s="3"/>
      <c r="AM124" s="1"/>
      <c r="AN124" s="3"/>
      <c r="AS124" s="5"/>
      <c r="AT124" s="1"/>
      <c r="AU124" s="2"/>
      <c r="AW124" s="3"/>
      <c r="AX124" s="3"/>
      <c r="AY124" s="1"/>
      <c r="AZ124" s="3"/>
      <c r="BA124" s="5"/>
      <c r="BB124" s="3"/>
    </row>
    <row r="125" spans="2:54" x14ac:dyDescent="0.3">
      <c r="B125" s="5"/>
      <c r="C125" s="1"/>
      <c r="D125" s="2"/>
      <c r="E125" s="7"/>
      <c r="F125" s="3"/>
      <c r="G125" s="3"/>
      <c r="H125" s="1"/>
      <c r="I125" s="3"/>
      <c r="J125" s="1"/>
      <c r="K125" s="3"/>
      <c r="Q125" s="5"/>
      <c r="R125" s="1"/>
      <c r="S125" s="2"/>
      <c r="U125" s="3"/>
      <c r="V125" s="3"/>
      <c r="W125" s="1"/>
      <c r="X125" s="3"/>
      <c r="Y125" s="1"/>
      <c r="Z125" s="3"/>
      <c r="AE125" s="5"/>
      <c r="AF125" s="1"/>
      <c r="AG125" s="2"/>
      <c r="AI125" s="3"/>
      <c r="AJ125" s="3"/>
      <c r="AK125" s="1"/>
      <c r="AL125" s="3"/>
      <c r="AM125" s="1"/>
      <c r="AN125" s="3"/>
      <c r="AS125" s="5"/>
      <c r="AT125" s="1"/>
      <c r="AU125" s="2"/>
      <c r="AW125" s="3"/>
      <c r="AX125" s="3"/>
      <c r="AY125" s="1"/>
      <c r="AZ125" s="3"/>
      <c r="BA125" s="5"/>
      <c r="BB125" s="3"/>
    </row>
    <row r="126" spans="2:54" x14ac:dyDescent="0.3">
      <c r="B126" s="5"/>
      <c r="C126" s="1"/>
      <c r="D126" s="2"/>
      <c r="E126" s="7"/>
      <c r="F126" s="3"/>
      <c r="G126" s="3"/>
      <c r="H126" s="1"/>
      <c r="I126" s="3"/>
      <c r="J126" s="1"/>
      <c r="K126" s="3"/>
      <c r="Q126" s="5"/>
      <c r="R126" s="1"/>
      <c r="S126" s="2"/>
      <c r="U126" s="3"/>
      <c r="V126" s="3"/>
      <c r="W126" s="1"/>
      <c r="X126" s="3"/>
      <c r="Y126" s="1"/>
      <c r="Z126" s="3"/>
      <c r="AE126" s="5"/>
      <c r="AF126" s="1"/>
      <c r="AG126" s="2"/>
      <c r="AI126" s="3"/>
      <c r="AJ126" s="3"/>
      <c r="AK126" s="1"/>
      <c r="AL126" s="3"/>
      <c r="AM126" s="1"/>
      <c r="AN126" s="3"/>
      <c r="AS126" s="5"/>
      <c r="AT126" s="1"/>
      <c r="AU126" s="2"/>
      <c r="AW126" s="3"/>
      <c r="AX126" s="3"/>
      <c r="AY126" s="1"/>
      <c r="AZ126" s="3"/>
      <c r="BA126" s="5"/>
      <c r="BB126" s="3"/>
    </row>
    <row r="127" spans="2:54" x14ac:dyDescent="0.3">
      <c r="B127" s="5"/>
      <c r="C127" s="1"/>
      <c r="D127" s="2"/>
      <c r="E127" s="7"/>
      <c r="F127" s="3"/>
      <c r="G127" s="3"/>
      <c r="H127" s="1"/>
      <c r="I127" s="3"/>
      <c r="J127" s="1"/>
      <c r="K127" s="3"/>
      <c r="Q127" s="5"/>
      <c r="R127" s="1"/>
      <c r="S127" s="2"/>
      <c r="U127" s="3"/>
      <c r="V127" s="3"/>
      <c r="W127" s="1"/>
      <c r="X127" s="3"/>
      <c r="Y127" s="1"/>
      <c r="Z127" s="3"/>
      <c r="AE127" s="5"/>
      <c r="AF127" s="1"/>
      <c r="AG127" s="2"/>
      <c r="AI127" s="3"/>
      <c r="AJ127" s="3"/>
      <c r="AK127" s="1"/>
      <c r="AL127" s="3"/>
      <c r="AM127" s="1"/>
      <c r="AN127" s="3"/>
      <c r="AS127" s="5"/>
      <c r="AT127" s="1"/>
      <c r="AU127" s="2"/>
      <c r="AW127" s="3"/>
      <c r="AX127" s="3"/>
      <c r="AY127" s="1"/>
      <c r="AZ127" s="3"/>
      <c r="BA127" s="5"/>
      <c r="BB127" s="3"/>
    </row>
    <row r="128" spans="2:54" x14ac:dyDescent="0.3">
      <c r="B128" s="5"/>
      <c r="C128" s="1"/>
      <c r="D128" s="2"/>
      <c r="E128" s="7"/>
      <c r="F128" s="3"/>
      <c r="G128" s="3"/>
      <c r="H128" s="1"/>
      <c r="I128" s="3"/>
      <c r="J128" s="1"/>
      <c r="K128" s="3"/>
      <c r="Q128" s="5"/>
      <c r="R128" s="1"/>
      <c r="S128" s="2"/>
      <c r="U128" s="3"/>
      <c r="V128" s="3"/>
      <c r="W128" s="1"/>
      <c r="X128" s="3"/>
      <c r="Y128" s="1"/>
      <c r="Z128" s="3"/>
      <c r="AE128" s="5"/>
      <c r="AF128" s="1"/>
      <c r="AG128" s="2"/>
      <c r="AI128" s="3"/>
      <c r="AJ128" s="3"/>
      <c r="AK128" s="1"/>
      <c r="AL128" s="3"/>
      <c r="AM128" s="1"/>
      <c r="AN128" s="3"/>
      <c r="AS128" s="5"/>
      <c r="AT128" s="1"/>
      <c r="AU128" s="2"/>
      <c r="AW128" s="3"/>
      <c r="AX128" s="3"/>
      <c r="AY128" s="1"/>
      <c r="AZ128" s="3"/>
      <c r="BA128" s="5"/>
      <c r="BB128" s="3"/>
    </row>
    <row r="129" spans="2:54" x14ac:dyDescent="0.3">
      <c r="B129" s="5"/>
      <c r="C129" s="1"/>
      <c r="D129" s="2"/>
      <c r="E129" s="7"/>
      <c r="F129" s="3"/>
      <c r="G129" s="3"/>
      <c r="H129" s="1"/>
      <c r="I129" s="3"/>
      <c r="J129" s="1"/>
      <c r="K129" s="3"/>
      <c r="Q129" s="5"/>
      <c r="R129" s="1"/>
      <c r="S129" s="2"/>
      <c r="U129" s="3"/>
      <c r="V129" s="3"/>
      <c r="W129" s="1"/>
      <c r="X129" s="3"/>
      <c r="Y129" s="1"/>
      <c r="Z129" s="3"/>
      <c r="AE129" s="5"/>
      <c r="AF129" s="1"/>
      <c r="AG129" s="2"/>
      <c r="AI129" s="3"/>
      <c r="AJ129" s="3"/>
      <c r="AK129" s="1"/>
      <c r="AL129" s="3"/>
      <c r="AM129" s="1"/>
      <c r="AN129" s="3"/>
      <c r="AS129" s="5"/>
      <c r="AT129" s="1"/>
      <c r="AU129" s="2"/>
      <c r="AW129" s="3"/>
      <c r="AX129" s="3"/>
      <c r="AY129" s="1"/>
      <c r="AZ129" s="3"/>
      <c r="BA129" s="5"/>
      <c r="BB129" s="3"/>
    </row>
    <row r="130" spans="2:54" x14ac:dyDescent="0.3">
      <c r="B130" s="5"/>
      <c r="C130" s="1"/>
      <c r="D130" s="2"/>
      <c r="E130" s="7"/>
      <c r="F130" s="3"/>
      <c r="G130" s="3"/>
      <c r="H130" s="1"/>
      <c r="I130" s="3"/>
      <c r="J130" s="1"/>
      <c r="K130" s="3"/>
      <c r="Q130" s="5"/>
      <c r="R130" s="1"/>
      <c r="S130" s="2"/>
      <c r="U130" s="3"/>
      <c r="V130" s="3"/>
      <c r="W130" s="1"/>
      <c r="X130" s="3"/>
      <c r="Y130" s="1"/>
      <c r="Z130" s="3"/>
      <c r="AE130" s="5"/>
      <c r="AF130" s="1"/>
      <c r="AG130" s="2"/>
      <c r="AI130" s="3"/>
      <c r="AJ130" s="3"/>
      <c r="AK130" s="1"/>
      <c r="AL130" s="3"/>
      <c r="AM130" s="1"/>
      <c r="AN130" s="3"/>
      <c r="AS130" s="5"/>
      <c r="AT130" s="1"/>
      <c r="AU130" s="2"/>
      <c r="AW130" s="3"/>
      <c r="AX130" s="3"/>
      <c r="AY130" s="1"/>
      <c r="AZ130" s="3"/>
      <c r="BA130" s="5"/>
      <c r="BB130" s="3"/>
    </row>
    <row r="131" spans="2:54" x14ac:dyDescent="0.3">
      <c r="B131" s="5"/>
      <c r="C131" s="1"/>
      <c r="D131" s="2"/>
      <c r="E131" s="7"/>
      <c r="F131" s="3"/>
      <c r="G131" s="3"/>
      <c r="H131" s="1"/>
      <c r="I131" s="3"/>
      <c r="J131" s="1"/>
      <c r="K131" s="3"/>
      <c r="Q131" s="5"/>
      <c r="R131" s="1"/>
      <c r="S131" s="2"/>
      <c r="U131" s="3"/>
      <c r="V131" s="3"/>
      <c r="W131" s="1"/>
      <c r="X131" s="3"/>
      <c r="Y131" s="1"/>
      <c r="Z131" s="3"/>
      <c r="AE131" s="5"/>
      <c r="AF131" s="1"/>
      <c r="AG131" s="2"/>
      <c r="AI131" s="3"/>
      <c r="AJ131" s="3"/>
      <c r="AK131" s="1"/>
      <c r="AL131" s="3"/>
      <c r="AM131" s="1"/>
      <c r="AN131" s="3"/>
      <c r="AS131" s="5"/>
      <c r="AT131" s="1"/>
      <c r="AU131" s="2"/>
      <c r="AW131" s="3"/>
      <c r="AX131" s="3"/>
      <c r="AY131" s="1"/>
      <c r="AZ131" s="3"/>
      <c r="BA131" s="5"/>
      <c r="BB131" s="3"/>
    </row>
    <row r="132" spans="2:54" x14ac:dyDescent="0.3">
      <c r="B132" s="5"/>
      <c r="C132" s="1"/>
      <c r="D132" s="2"/>
      <c r="E132" s="7"/>
      <c r="F132" s="3"/>
      <c r="G132" s="3"/>
      <c r="H132" s="1"/>
      <c r="I132" s="3"/>
      <c r="J132" s="1"/>
      <c r="K132" s="3"/>
      <c r="Q132" s="5"/>
      <c r="R132" s="1"/>
      <c r="S132" s="2"/>
      <c r="U132" s="3"/>
      <c r="V132" s="3"/>
      <c r="W132" s="1"/>
      <c r="X132" s="3"/>
      <c r="Y132" s="1"/>
      <c r="Z132" s="3"/>
      <c r="AE132" s="5"/>
      <c r="AF132" s="1"/>
      <c r="AG132" s="2"/>
      <c r="AI132" s="3"/>
      <c r="AJ132" s="3"/>
      <c r="AK132" s="1"/>
      <c r="AL132" s="3"/>
      <c r="AM132" s="1"/>
      <c r="AN132" s="3"/>
      <c r="AS132" s="5"/>
      <c r="AT132" s="1"/>
      <c r="AU132" s="2"/>
      <c r="AW132" s="3"/>
      <c r="AX132" s="3"/>
      <c r="AY132" s="1"/>
      <c r="AZ132" s="3"/>
      <c r="BA132" s="5"/>
      <c r="BB132" s="3"/>
    </row>
    <row r="133" spans="2:54" x14ac:dyDescent="0.3">
      <c r="B133" s="5"/>
      <c r="C133" s="1"/>
      <c r="D133" s="2"/>
      <c r="E133" s="7"/>
      <c r="F133" s="3"/>
      <c r="G133" s="3"/>
      <c r="H133" s="1"/>
      <c r="I133" s="3"/>
      <c r="J133" s="1"/>
      <c r="K133" s="3"/>
      <c r="Q133" s="5"/>
      <c r="R133" s="1"/>
      <c r="S133" s="2"/>
      <c r="U133" s="3"/>
      <c r="V133" s="3"/>
      <c r="W133" s="1"/>
      <c r="X133" s="3"/>
      <c r="Y133" s="1"/>
      <c r="Z133" s="3"/>
      <c r="AE133" s="5"/>
      <c r="AF133" s="1"/>
      <c r="AG133" s="2"/>
      <c r="AI133" s="3"/>
      <c r="AJ133" s="3"/>
      <c r="AK133" s="1"/>
      <c r="AL133" s="3"/>
      <c r="AM133" s="1"/>
      <c r="AN133" s="3"/>
      <c r="AS133" s="5"/>
      <c r="AT133" s="1"/>
      <c r="AU133" s="2"/>
      <c r="AW133" s="3"/>
      <c r="AX133" s="3"/>
      <c r="AY133" s="1"/>
      <c r="AZ133" s="3"/>
      <c r="BA133" s="5"/>
      <c r="BB133" s="3"/>
    </row>
    <row r="134" spans="2:54" x14ac:dyDescent="0.3">
      <c r="B134" s="5"/>
      <c r="C134" s="1"/>
      <c r="D134" s="2"/>
      <c r="E134" s="7"/>
      <c r="F134" s="3"/>
      <c r="G134" s="3"/>
      <c r="H134" s="1"/>
      <c r="I134" s="3"/>
      <c r="J134" s="1"/>
      <c r="K134" s="3"/>
      <c r="Q134" s="5"/>
      <c r="R134" s="1"/>
      <c r="S134" s="2"/>
      <c r="U134" s="3"/>
      <c r="V134" s="3"/>
      <c r="W134" s="1"/>
      <c r="X134" s="3"/>
      <c r="Y134" s="1"/>
      <c r="Z134" s="3"/>
      <c r="AE134" s="5"/>
      <c r="AF134" s="1"/>
      <c r="AG134" s="2"/>
      <c r="AI134" s="3"/>
      <c r="AJ134" s="3"/>
      <c r="AK134" s="1"/>
      <c r="AL134" s="3"/>
      <c r="AM134" s="1"/>
      <c r="AN134" s="3"/>
      <c r="AS134" s="5"/>
      <c r="AT134" s="1"/>
      <c r="AU134" s="2"/>
      <c r="AW134" s="3"/>
      <c r="AX134" s="3"/>
      <c r="AY134" s="1"/>
      <c r="AZ134" s="3"/>
      <c r="BA134" s="5"/>
      <c r="BB134" s="3"/>
    </row>
    <row r="135" spans="2:54" x14ac:dyDescent="0.3">
      <c r="B135" s="5"/>
      <c r="C135" s="1"/>
      <c r="D135" s="2"/>
      <c r="E135" s="7"/>
      <c r="F135" s="3"/>
      <c r="G135" s="3"/>
      <c r="H135" s="1"/>
      <c r="I135" s="3"/>
      <c r="J135" s="1"/>
      <c r="K135" s="3"/>
      <c r="Q135" s="5"/>
      <c r="R135" s="1"/>
      <c r="S135" s="2"/>
      <c r="U135" s="3"/>
      <c r="V135" s="3"/>
      <c r="W135" s="1"/>
      <c r="X135" s="3"/>
      <c r="Y135" s="1"/>
      <c r="Z135" s="3"/>
      <c r="AE135" s="5"/>
      <c r="AF135" s="1"/>
      <c r="AG135" s="2"/>
      <c r="AI135" s="3"/>
      <c r="AJ135" s="3"/>
      <c r="AK135" s="1"/>
      <c r="AL135" s="3"/>
      <c r="AM135" s="1"/>
      <c r="AN135" s="3"/>
      <c r="AS135" s="5"/>
      <c r="AT135" s="1"/>
      <c r="AU135" s="2"/>
      <c r="AW135" s="3"/>
      <c r="AX135" s="3"/>
      <c r="AY135" s="1"/>
      <c r="AZ135" s="3"/>
      <c r="BA135" s="5"/>
      <c r="BB135" s="3"/>
    </row>
    <row r="136" spans="2:54" x14ac:dyDescent="0.3">
      <c r="B136" s="5"/>
      <c r="C136" s="1"/>
      <c r="D136" s="2"/>
      <c r="E136" s="7"/>
      <c r="F136" s="3"/>
      <c r="G136" s="3"/>
      <c r="H136" s="1"/>
      <c r="I136" s="3"/>
      <c r="J136" s="1"/>
      <c r="K136" s="3"/>
      <c r="Q136" s="5"/>
      <c r="R136" s="1"/>
      <c r="S136" s="2"/>
      <c r="U136" s="3"/>
      <c r="V136" s="3"/>
      <c r="W136" s="1"/>
      <c r="X136" s="3"/>
      <c r="Y136" s="1"/>
      <c r="Z136" s="3"/>
      <c r="AE136" s="5"/>
      <c r="AF136" s="1"/>
      <c r="AG136" s="2"/>
      <c r="AI136" s="3"/>
      <c r="AJ136" s="3"/>
      <c r="AK136" s="1"/>
      <c r="AL136" s="3"/>
      <c r="AM136" s="1"/>
      <c r="AN136" s="3"/>
      <c r="AS136" s="5"/>
      <c r="AT136" s="1"/>
      <c r="AU136" s="2"/>
      <c r="AW136" s="3"/>
      <c r="AX136" s="3"/>
      <c r="AY136" s="1"/>
      <c r="AZ136" s="3"/>
      <c r="BA136" s="5"/>
      <c r="BB136" s="3"/>
    </row>
    <row r="137" spans="2:54" x14ac:dyDescent="0.3">
      <c r="B137" s="5"/>
      <c r="C137" s="1"/>
      <c r="D137" s="2"/>
      <c r="E137" s="7"/>
      <c r="F137" s="3"/>
      <c r="G137" s="3"/>
      <c r="H137" s="1"/>
      <c r="I137" s="3"/>
      <c r="J137" s="1"/>
      <c r="K137" s="3"/>
      <c r="Q137" s="5"/>
      <c r="R137" s="1"/>
      <c r="S137" s="2"/>
      <c r="U137" s="3"/>
      <c r="V137" s="3"/>
      <c r="W137" s="1"/>
      <c r="X137" s="3"/>
      <c r="Y137" s="1"/>
      <c r="Z137" s="3"/>
      <c r="AE137" s="5"/>
      <c r="AF137" s="1"/>
      <c r="AG137" s="2"/>
      <c r="AI137" s="3"/>
      <c r="AJ137" s="3"/>
      <c r="AK137" s="1"/>
      <c r="AL137" s="3"/>
      <c r="AM137" s="1"/>
      <c r="AN137" s="3"/>
      <c r="AS137" s="5"/>
      <c r="AT137" s="1"/>
      <c r="AU137" s="2"/>
      <c r="AW137" s="3"/>
      <c r="AX137" s="3"/>
      <c r="AY137" s="1"/>
      <c r="AZ137" s="3"/>
      <c r="BA137" s="5"/>
      <c r="BB137" s="3"/>
    </row>
    <row r="138" spans="2:54" x14ac:dyDescent="0.3">
      <c r="B138" s="5"/>
      <c r="C138" s="1"/>
      <c r="D138" s="2"/>
      <c r="E138" s="7"/>
      <c r="F138" s="3"/>
      <c r="G138" s="3"/>
      <c r="H138" s="1"/>
      <c r="I138" s="3"/>
      <c r="J138" s="1"/>
      <c r="K138" s="3"/>
      <c r="Q138" s="5"/>
      <c r="R138" s="1"/>
      <c r="S138" s="2"/>
      <c r="U138" s="3"/>
      <c r="V138" s="3"/>
      <c r="W138" s="1"/>
      <c r="X138" s="3"/>
      <c r="Y138" s="1"/>
      <c r="Z138" s="3"/>
      <c r="AE138" s="5"/>
      <c r="AF138" s="1"/>
      <c r="AG138" s="2"/>
      <c r="AI138" s="3"/>
      <c r="AJ138" s="3"/>
      <c r="AK138" s="1"/>
      <c r="AL138" s="3"/>
      <c r="AM138" s="1"/>
      <c r="AN138" s="3"/>
      <c r="AS138" s="5"/>
      <c r="AT138" s="1"/>
      <c r="AU138" s="2"/>
      <c r="AW138" s="3"/>
      <c r="AX138" s="3"/>
      <c r="AY138" s="1"/>
      <c r="AZ138" s="3"/>
      <c r="BA138" s="5"/>
      <c r="BB138" s="3"/>
    </row>
    <row r="139" spans="2:54" x14ac:dyDescent="0.3">
      <c r="B139" s="5"/>
      <c r="C139" s="1"/>
      <c r="D139" s="2"/>
      <c r="E139" s="7"/>
      <c r="F139" s="3"/>
      <c r="G139" s="3"/>
      <c r="H139" s="1"/>
      <c r="I139" s="3"/>
      <c r="J139" s="1"/>
      <c r="K139" s="3"/>
      <c r="Q139" s="5"/>
      <c r="R139" s="1"/>
      <c r="S139" s="2"/>
      <c r="U139" s="3"/>
      <c r="V139" s="3"/>
      <c r="W139" s="1"/>
      <c r="X139" s="3"/>
      <c r="Y139" s="1"/>
      <c r="Z139" s="3"/>
      <c r="AE139" s="5"/>
      <c r="AF139" s="1"/>
      <c r="AG139" s="2"/>
      <c r="AI139" s="3"/>
      <c r="AJ139" s="3"/>
      <c r="AK139" s="1"/>
      <c r="AL139" s="3"/>
      <c r="AM139" s="1"/>
      <c r="AN139" s="3"/>
      <c r="AS139" s="5"/>
      <c r="AT139" s="1"/>
      <c r="AU139" s="2"/>
      <c r="AW139" s="3"/>
      <c r="AX139" s="3"/>
      <c r="AY139" s="1"/>
      <c r="AZ139" s="3"/>
      <c r="BA139" s="5"/>
      <c r="BB139" s="3"/>
    </row>
    <row r="140" spans="2:54" x14ac:dyDescent="0.3">
      <c r="B140" s="5"/>
      <c r="C140" s="1"/>
      <c r="D140" s="2"/>
      <c r="E140" s="7"/>
      <c r="F140" s="3"/>
      <c r="G140" s="3"/>
      <c r="H140" s="1"/>
      <c r="I140" s="3"/>
      <c r="J140" s="1"/>
      <c r="K140" s="3"/>
      <c r="Q140" s="5"/>
      <c r="R140" s="1"/>
      <c r="S140" s="2"/>
      <c r="U140" s="3"/>
      <c r="V140" s="3"/>
      <c r="W140" s="1"/>
      <c r="X140" s="3"/>
      <c r="Y140" s="1"/>
      <c r="Z140" s="3"/>
      <c r="AE140" s="5"/>
      <c r="AF140" s="1"/>
      <c r="AG140" s="2"/>
      <c r="AI140" s="3"/>
      <c r="AJ140" s="3"/>
      <c r="AK140" s="1"/>
      <c r="AL140" s="3"/>
      <c r="AM140" s="1"/>
      <c r="AN140" s="3"/>
      <c r="AS140" s="5"/>
      <c r="AT140" s="1"/>
      <c r="AU140" s="2"/>
      <c r="AW140" s="3"/>
      <c r="AX140" s="3"/>
      <c r="AY140" s="1"/>
      <c r="AZ140" s="3"/>
      <c r="BA140" s="5"/>
      <c r="BB140" s="3"/>
    </row>
    <row r="141" spans="2:54" x14ac:dyDescent="0.3">
      <c r="B141" s="5"/>
      <c r="C141" s="1"/>
      <c r="D141" s="2"/>
      <c r="E141" s="7"/>
      <c r="F141" s="3"/>
      <c r="G141" s="3"/>
      <c r="H141" s="1"/>
      <c r="I141" s="3"/>
      <c r="J141" s="1"/>
      <c r="K141" s="3"/>
      <c r="Q141" s="5"/>
      <c r="R141" s="1"/>
      <c r="S141" s="2"/>
      <c r="U141" s="3"/>
      <c r="V141" s="3"/>
      <c r="W141" s="1"/>
      <c r="X141" s="3"/>
      <c r="Y141" s="1"/>
      <c r="Z141" s="3"/>
      <c r="AE141" s="5"/>
      <c r="AF141" s="1"/>
      <c r="AG141" s="2"/>
      <c r="AI141" s="3"/>
      <c r="AJ141" s="3"/>
      <c r="AK141" s="1"/>
      <c r="AL141" s="3"/>
      <c r="AM141" s="1"/>
      <c r="AN141" s="3"/>
      <c r="AS141" s="5"/>
      <c r="AT141" s="1"/>
      <c r="AU141" s="2"/>
      <c r="AW141" s="3"/>
      <c r="AX141" s="3"/>
      <c r="AY141" s="1"/>
      <c r="AZ141" s="3"/>
      <c r="BA141" s="5"/>
      <c r="BB141" s="3"/>
    </row>
    <row r="142" spans="2:54" x14ac:dyDescent="0.3">
      <c r="B142" s="5"/>
      <c r="C142" s="1"/>
      <c r="D142" s="2"/>
      <c r="E142" s="7"/>
      <c r="F142" s="3"/>
      <c r="G142" s="3"/>
      <c r="H142" s="1"/>
      <c r="I142" s="3"/>
      <c r="J142" s="1"/>
      <c r="K142" s="3"/>
      <c r="Q142" s="5"/>
      <c r="R142" s="1"/>
      <c r="S142" s="2"/>
      <c r="U142" s="3"/>
      <c r="V142" s="3"/>
      <c r="W142" s="1"/>
      <c r="X142" s="3"/>
      <c r="Y142" s="1"/>
      <c r="Z142" s="3"/>
      <c r="AE142" s="5"/>
      <c r="AF142" s="1"/>
      <c r="AG142" s="2"/>
      <c r="AI142" s="3"/>
      <c r="AJ142" s="3"/>
      <c r="AK142" s="1"/>
      <c r="AL142" s="3"/>
      <c r="AM142" s="1"/>
      <c r="AN142" s="3"/>
      <c r="AS142" s="5"/>
      <c r="AT142" s="1"/>
      <c r="AU142" s="2"/>
      <c r="AW142" s="3"/>
      <c r="AX142" s="3"/>
      <c r="AY142" s="1"/>
      <c r="AZ142" s="3"/>
      <c r="BA142" s="5"/>
      <c r="BB142" s="3"/>
    </row>
    <row r="143" spans="2:54" x14ac:dyDescent="0.3">
      <c r="B143" s="5"/>
      <c r="C143" s="1"/>
      <c r="D143" s="2"/>
      <c r="E143" s="7"/>
      <c r="F143" s="3"/>
      <c r="G143" s="3"/>
      <c r="H143" s="1"/>
      <c r="I143" s="3"/>
      <c r="J143" s="1"/>
      <c r="K143" s="3"/>
      <c r="Q143" s="5"/>
      <c r="R143" s="1"/>
      <c r="S143" s="2"/>
      <c r="U143" s="3"/>
      <c r="V143" s="3"/>
      <c r="W143" s="1"/>
      <c r="X143" s="3"/>
      <c r="Y143" s="1"/>
      <c r="Z143" s="3"/>
      <c r="AE143" s="5"/>
      <c r="AF143" s="1"/>
      <c r="AG143" s="2"/>
      <c r="AI143" s="3"/>
      <c r="AJ143" s="3"/>
      <c r="AK143" s="1"/>
      <c r="AL143" s="3"/>
      <c r="AM143" s="1"/>
      <c r="AN143" s="3"/>
      <c r="AS143" s="5"/>
      <c r="AT143" s="1"/>
      <c r="AU143" s="2"/>
      <c r="AW143" s="3"/>
      <c r="AX143" s="3"/>
      <c r="AY143" s="1"/>
      <c r="AZ143" s="3"/>
      <c r="BA143" s="5"/>
      <c r="BB143" s="3"/>
    </row>
    <row r="144" spans="2:54" x14ac:dyDescent="0.3">
      <c r="B144" s="5"/>
      <c r="C144" s="1"/>
      <c r="D144" s="2"/>
      <c r="E144" s="7"/>
      <c r="F144" s="3"/>
      <c r="G144" s="3"/>
      <c r="H144" s="1"/>
      <c r="I144" s="3"/>
      <c r="J144" s="1"/>
      <c r="K144" s="3"/>
      <c r="Q144" s="5"/>
      <c r="R144" s="1"/>
      <c r="S144" s="2"/>
      <c r="U144" s="3"/>
      <c r="V144" s="3"/>
      <c r="W144" s="1"/>
      <c r="X144" s="3"/>
      <c r="Y144" s="1"/>
      <c r="Z144" s="3"/>
      <c r="AE144" s="5"/>
      <c r="AF144" s="1"/>
      <c r="AG144" s="2"/>
      <c r="AI144" s="3"/>
      <c r="AJ144" s="3"/>
      <c r="AK144" s="1"/>
      <c r="AL144" s="3"/>
      <c r="AM144" s="1"/>
      <c r="AN144" s="3"/>
      <c r="AS144" s="5"/>
      <c r="AT144" s="1"/>
      <c r="AU144" s="2"/>
      <c r="AW144" s="3"/>
      <c r="AX144" s="3"/>
      <c r="AY144" s="1"/>
      <c r="AZ144" s="3"/>
      <c r="BA144" s="5"/>
      <c r="BB144" s="3"/>
    </row>
    <row r="145" spans="2:54" x14ac:dyDescent="0.3">
      <c r="B145" s="5"/>
      <c r="C145" s="1"/>
      <c r="D145" s="2"/>
      <c r="E145" s="7"/>
      <c r="F145" s="3"/>
      <c r="G145" s="3"/>
      <c r="H145" s="1"/>
      <c r="I145" s="3"/>
      <c r="J145" s="1"/>
      <c r="K145" s="3"/>
      <c r="Q145" s="5"/>
      <c r="R145" s="1"/>
      <c r="S145" s="2"/>
      <c r="U145" s="3"/>
      <c r="V145" s="3"/>
      <c r="W145" s="1"/>
      <c r="X145" s="3"/>
      <c r="Y145" s="1"/>
      <c r="Z145" s="3"/>
      <c r="AE145" s="5"/>
      <c r="AF145" s="1"/>
      <c r="AG145" s="2"/>
      <c r="AI145" s="3"/>
      <c r="AJ145" s="3"/>
      <c r="AK145" s="1"/>
      <c r="AL145" s="3"/>
      <c r="AM145" s="1"/>
      <c r="AN145" s="3"/>
      <c r="AS145" s="5"/>
      <c r="AT145" s="1"/>
      <c r="AU145" s="2"/>
      <c r="AW145" s="3"/>
      <c r="AX145" s="3"/>
      <c r="AY145" s="1"/>
      <c r="AZ145" s="3"/>
      <c r="BA145" s="5"/>
      <c r="BB145" s="3"/>
    </row>
    <row r="146" spans="2:54" x14ac:dyDescent="0.3">
      <c r="B146" s="5"/>
      <c r="C146" s="1"/>
      <c r="D146" s="2"/>
      <c r="E146" s="7"/>
      <c r="F146" s="3"/>
      <c r="G146" s="3"/>
      <c r="H146" s="1"/>
      <c r="I146" s="3"/>
      <c r="J146" s="1"/>
      <c r="K146" s="3"/>
      <c r="Q146" s="5"/>
      <c r="R146" s="1"/>
      <c r="S146" s="2"/>
      <c r="U146" s="3"/>
      <c r="V146" s="3"/>
      <c r="W146" s="1"/>
      <c r="X146" s="3"/>
      <c r="Y146" s="1"/>
      <c r="Z146" s="3"/>
      <c r="AE146" s="5"/>
      <c r="AF146" s="1"/>
      <c r="AG146" s="2"/>
      <c r="AI146" s="3"/>
      <c r="AJ146" s="3"/>
      <c r="AK146" s="1"/>
      <c r="AL146" s="3"/>
      <c r="AM146" s="1"/>
      <c r="AN146" s="3"/>
      <c r="AS146" s="5"/>
      <c r="AT146" s="1"/>
      <c r="AU146" s="2"/>
      <c r="AW146" s="3"/>
      <c r="AX146" s="3"/>
      <c r="AY146" s="1"/>
      <c r="AZ146" s="3"/>
      <c r="BA146" s="5"/>
      <c r="BB146" s="3"/>
    </row>
    <row r="147" spans="2:54" x14ac:dyDescent="0.3">
      <c r="B147" s="5"/>
      <c r="C147" s="1"/>
      <c r="D147" s="2"/>
      <c r="E147" s="7"/>
      <c r="F147" s="3"/>
      <c r="G147" s="3"/>
      <c r="H147" s="1"/>
      <c r="I147" s="3"/>
      <c r="J147" s="1"/>
      <c r="K147" s="3"/>
      <c r="Q147" s="5"/>
      <c r="R147" s="1"/>
      <c r="S147" s="2"/>
      <c r="U147" s="3"/>
      <c r="V147" s="3"/>
      <c r="W147" s="1"/>
      <c r="X147" s="3"/>
      <c r="Y147" s="1"/>
      <c r="Z147" s="3"/>
      <c r="AE147" s="5"/>
      <c r="AF147" s="1"/>
      <c r="AG147" s="2"/>
      <c r="AI147" s="3"/>
      <c r="AJ147" s="3"/>
      <c r="AK147" s="1"/>
      <c r="AL147" s="3"/>
      <c r="AM147" s="1"/>
      <c r="AN147" s="3"/>
      <c r="AS147" s="5"/>
      <c r="AT147" s="1"/>
      <c r="AU147" s="2"/>
      <c r="AW147" s="3"/>
      <c r="AX147" s="3"/>
      <c r="AY147" s="1"/>
      <c r="AZ147" s="3"/>
      <c r="BA147" s="5"/>
      <c r="BB147" s="3"/>
    </row>
    <row r="148" spans="2:54" x14ac:dyDescent="0.3">
      <c r="B148" s="5"/>
      <c r="C148" s="1"/>
      <c r="D148" s="2"/>
      <c r="E148" s="7"/>
      <c r="F148" s="3"/>
      <c r="G148" s="3"/>
      <c r="H148" s="1"/>
      <c r="I148" s="3"/>
      <c r="J148" s="1"/>
      <c r="K148" s="3"/>
      <c r="Q148" s="5"/>
      <c r="R148" s="1"/>
      <c r="S148" s="2"/>
      <c r="U148" s="3"/>
      <c r="V148" s="3"/>
      <c r="W148" s="1"/>
      <c r="X148" s="3"/>
      <c r="Y148" s="1"/>
      <c r="Z148" s="3"/>
      <c r="AE148" s="5"/>
      <c r="AF148" s="1"/>
      <c r="AG148" s="2"/>
      <c r="AI148" s="3"/>
      <c r="AJ148" s="3"/>
      <c r="AK148" s="1"/>
      <c r="AL148" s="3"/>
      <c r="AM148" s="1"/>
      <c r="AN148" s="3"/>
      <c r="AS148" s="5"/>
      <c r="AT148" s="1"/>
      <c r="AU148" s="2"/>
      <c r="AW148" s="3"/>
      <c r="AX148" s="3"/>
      <c r="AY148" s="1"/>
      <c r="AZ148" s="3"/>
      <c r="BA148" s="5"/>
      <c r="BB148" s="3"/>
    </row>
    <row r="149" spans="2:54" x14ac:dyDescent="0.3">
      <c r="B149" s="5"/>
      <c r="C149" s="1"/>
      <c r="D149" s="2"/>
      <c r="E149" s="7"/>
      <c r="F149" s="3"/>
      <c r="G149" s="3"/>
      <c r="H149" s="1"/>
      <c r="I149" s="3"/>
      <c r="J149" s="1"/>
      <c r="K149" s="3"/>
      <c r="Q149" s="5"/>
      <c r="R149" s="1"/>
      <c r="S149" s="2"/>
      <c r="U149" s="3"/>
      <c r="V149" s="3"/>
      <c r="W149" s="1"/>
      <c r="X149" s="3"/>
      <c r="Y149" s="1"/>
      <c r="Z149" s="3"/>
      <c r="AE149" s="5"/>
      <c r="AF149" s="1"/>
      <c r="AG149" s="2"/>
      <c r="AI149" s="3"/>
      <c r="AJ149" s="3"/>
      <c r="AK149" s="1"/>
      <c r="AL149" s="3"/>
      <c r="AM149" s="1"/>
      <c r="AN149" s="3"/>
      <c r="AS149" s="5"/>
      <c r="AT149" s="1"/>
      <c r="AU149" s="2"/>
      <c r="AW149" s="3"/>
      <c r="AX149" s="3"/>
      <c r="AY149" s="1"/>
      <c r="AZ149" s="3"/>
      <c r="BA149" s="5"/>
      <c r="BB149" s="3"/>
    </row>
    <row r="150" spans="2:54" x14ac:dyDescent="0.3">
      <c r="B150" s="5"/>
      <c r="C150" s="1"/>
      <c r="D150" s="2"/>
      <c r="E150" s="7"/>
      <c r="F150" s="3"/>
      <c r="G150" s="3"/>
      <c r="H150" s="1"/>
      <c r="I150" s="3"/>
      <c r="J150" s="1"/>
      <c r="K150" s="3"/>
      <c r="Q150" s="5"/>
      <c r="R150" s="1"/>
      <c r="S150" s="2"/>
      <c r="U150" s="3"/>
      <c r="V150" s="3"/>
      <c r="W150" s="1"/>
      <c r="X150" s="3"/>
      <c r="Y150" s="1"/>
      <c r="Z150" s="3"/>
      <c r="AE150" s="5"/>
      <c r="AF150" s="1"/>
      <c r="AG150" s="2"/>
      <c r="AI150" s="3"/>
      <c r="AJ150" s="3"/>
      <c r="AK150" s="1"/>
      <c r="AL150" s="3"/>
      <c r="AM150" s="1"/>
      <c r="AN150" s="3"/>
      <c r="AS150" s="5"/>
      <c r="AT150" s="1"/>
      <c r="AU150" s="2"/>
      <c r="AW150" s="3"/>
      <c r="AX150" s="3"/>
      <c r="AY150" s="1"/>
      <c r="AZ150" s="3"/>
      <c r="BA150" s="5"/>
      <c r="BB150" s="3"/>
    </row>
    <row r="151" spans="2:54" x14ac:dyDescent="0.3">
      <c r="B151" s="5"/>
      <c r="C151" s="1"/>
      <c r="D151" s="2"/>
      <c r="E151" s="7"/>
      <c r="F151" s="3"/>
      <c r="G151" s="3"/>
      <c r="H151" s="1"/>
      <c r="I151" s="3"/>
      <c r="J151" s="1"/>
      <c r="K151" s="3"/>
      <c r="Q151" s="5"/>
      <c r="R151" s="1"/>
      <c r="S151" s="2"/>
      <c r="U151" s="3"/>
      <c r="V151" s="3"/>
      <c r="W151" s="1"/>
      <c r="X151" s="3"/>
      <c r="Y151" s="1"/>
      <c r="Z151" s="3"/>
      <c r="AE151" s="5"/>
      <c r="AF151" s="1"/>
      <c r="AG151" s="2"/>
      <c r="AI151" s="3"/>
      <c r="AJ151" s="3"/>
      <c r="AK151" s="1"/>
      <c r="AL151" s="3"/>
      <c r="AM151" s="1"/>
      <c r="AN151" s="3"/>
      <c r="AS151" s="5"/>
      <c r="AT151" s="1"/>
      <c r="AU151" s="2"/>
      <c r="AW151" s="3"/>
      <c r="AX151" s="3"/>
      <c r="AY151" s="1"/>
      <c r="AZ151" s="3"/>
      <c r="BA151" s="5"/>
      <c r="BB151" s="3"/>
    </row>
    <row r="152" spans="2:54" x14ac:dyDescent="0.3">
      <c r="B152" s="5"/>
      <c r="C152" s="1"/>
      <c r="D152" s="2"/>
      <c r="E152" s="7"/>
      <c r="F152" s="3"/>
      <c r="G152" s="3"/>
      <c r="H152" s="1"/>
      <c r="I152" s="3"/>
      <c r="J152" s="1"/>
      <c r="K152" s="3"/>
      <c r="Q152" s="5"/>
      <c r="R152" s="1"/>
      <c r="S152" s="2"/>
      <c r="U152" s="3"/>
      <c r="V152" s="3"/>
      <c r="W152" s="1"/>
      <c r="X152" s="3"/>
      <c r="Y152" s="1"/>
      <c r="Z152" s="3"/>
      <c r="AE152" s="5"/>
      <c r="AF152" s="1"/>
      <c r="AG152" s="2"/>
      <c r="AI152" s="3"/>
      <c r="AJ152" s="3"/>
      <c r="AK152" s="1"/>
      <c r="AL152" s="3"/>
      <c r="AM152" s="1"/>
      <c r="AN152" s="3"/>
      <c r="AS152" s="5"/>
      <c r="AT152" s="1"/>
      <c r="AU152" s="2"/>
      <c r="AW152" s="3"/>
      <c r="AX152" s="3"/>
      <c r="AY152" s="1"/>
      <c r="AZ152" s="3"/>
      <c r="BA152" s="5"/>
      <c r="BB152" s="3"/>
    </row>
    <row r="153" spans="2:54" x14ac:dyDescent="0.3">
      <c r="B153" s="5"/>
      <c r="C153" s="1"/>
      <c r="D153" s="2"/>
      <c r="E153" s="7"/>
      <c r="F153" s="3"/>
      <c r="G153" s="3"/>
      <c r="H153" s="1"/>
      <c r="I153" s="3"/>
      <c r="J153" s="1"/>
      <c r="K153" s="3"/>
      <c r="Q153" s="5"/>
      <c r="R153" s="1"/>
      <c r="S153" s="2"/>
      <c r="U153" s="3"/>
      <c r="V153" s="3"/>
      <c r="W153" s="1"/>
      <c r="X153" s="3"/>
      <c r="Y153" s="1"/>
      <c r="Z153" s="3"/>
      <c r="AE153" s="5"/>
      <c r="AF153" s="1"/>
      <c r="AG153" s="2"/>
      <c r="AI153" s="3"/>
      <c r="AJ153" s="3"/>
      <c r="AK153" s="1"/>
      <c r="AL153" s="3"/>
      <c r="AM153" s="1"/>
      <c r="AN153" s="3"/>
      <c r="AS153" s="5"/>
      <c r="AT153" s="1"/>
      <c r="AU153" s="2"/>
      <c r="AW153" s="3"/>
      <c r="AX153" s="3"/>
      <c r="AY153" s="1"/>
      <c r="AZ153" s="3"/>
      <c r="BA153" s="5"/>
      <c r="BB153" s="3"/>
    </row>
    <row r="154" spans="2:54" x14ac:dyDescent="0.3">
      <c r="B154" s="5"/>
      <c r="C154" s="1"/>
      <c r="D154" s="2"/>
      <c r="E154" s="7"/>
      <c r="F154" s="3"/>
      <c r="G154" s="3"/>
      <c r="H154" s="1"/>
      <c r="I154" s="3"/>
      <c r="J154" s="1"/>
      <c r="K154" s="3"/>
      <c r="Q154" s="5"/>
      <c r="R154" s="1"/>
      <c r="S154" s="2"/>
      <c r="U154" s="3"/>
      <c r="V154" s="3"/>
      <c r="W154" s="1"/>
      <c r="X154" s="3"/>
      <c r="Y154" s="1"/>
      <c r="Z154" s="3"/>
      <c r="AE154" s="5"/>
      <c r="AF154" s="1"/>
      <c r="AG154" s="2"/>
      <c r="AI154" s="3"/>
      <c r="AJ154" s="3"/>
      <c r="AK154" s="1"/>
      <c r="AL154" s="3"/>
      <c r="AM154" s="1"/>
      <c r="AN154" s="3"/>
      <c r="AS154" s="5"/>
      <c r="AT154" s="1"/>
      <c r="AU154" s="2"/>
      <c r="AW154" s="3"/>
      <c r="AX154" s="3"/>
      <c r="AY154" s="1"/>
      <c r="AZ154" s="3"/>
      <c r="BA154" s="5"/>
      <c r="BB154" s="3"/>
    </row>
    <row r="155" spans="2:54" x14ac:dyDescent="0.3">
      <c r="B155" s="5"/>
      <c r="C155" s="1"/>
      <c r="D155" s="2"/>
      <c r="E155" s="7"/>
      <c r="F155" s="3"/>
      <c r="G155" s="3"/>
      <c r="H155" s="1"/>
      <c r="I155" s="3"/>
      <c r="J155" s="1"/>
      <c r="K155" s="3"/>
      <c r="Q155" s="5"/>
      <c r="R155" s="1"/>
      <c r="S155" s="2"/>
      <c r="U155" s="3"/>
      <c r="V155" s="3"/>
      <c r="W155" s="1"/>
      <c r="X155" s="3"/>
      <c r="Y155" s="1"/>
      <c r="Z155" s="3"/>
      <c r="AE155" s="5"/>
      <c r="AF155" s="1"/>
      <c r="AG155" s="2"/>
      <c r="AI155" s="3"/>
      <c r="AJ155" s="3"/>
      <c r="AK155" s="1"/>
      <c r="AL155" s="3"/>
      <c r="AM155" s="1"/>
      <c r="AN155" s="3"/>
      <c r="AS155" s="5"/>
      <c r="AT155" s="1"/>
      <c r="AU155" s="2"/>
      <c r="AW155" s="3"/>
      <c r="AX155" s="3"/>
      <c r="AY155" s="1"/>
      <c r="AZ155" s="3"/>
      <c r="BA155" s="5"/>
      <c r="BB155" s="3"/>
    </row>
    <row r="156" spans="2:54" x14ac:dyDescent="0.3">
      <c r="B156" s="5"/>
      <c r="C156" s="1"/>
      <c r="D156" s="2"/>
      <c r="E156" s="7"/>
      <c r="F156" s="3"/>
      <c r="G156" s="3"/>
      <c r="H156" s="1"/>
      <c r="I156" s="3"/>
      <c r="J156" s="1"/>
      <c r="K156" s="3"/>
      <c r="Q156" s="5"/>
      <c r="R156" s="1"/>
      <c r="S156" s="2"/>
      <c r="U156" s="3"/>
      <c r="V156" s="3"/>
      <c r="W156" s="1"/>
      <c r="X156" s="3"/>
      <c r="Y156" s="1"/>
      <c r="Z156" s="3"/>
      <c r="AE156" s="5"/>
      <c r="AF156" s="1"/>
      <c r="AG156" s="2"/>
      <c r="AI156" s="3"/>
      <c r="AJ156" s="3"/>
      <c r="AK156" s="1"/>
      <c r="AL156" s="3"/>
      <c r="AM156" s="1"/>
      <c r="AN156" s="3"/>
      <c r="AS156" s="5"/>
      <c r="AT156" s="1"/>
      <c r="AU156" s="2"/>
      <c r="AW156" s="3"/>
      <c r="AX156" s="3"/>
      <c r="AY156" s="1"/>
      <c r="AZ156" s="3"/>
      <c r="BA156" s="5"/>
      <c r="BB156" s="3"/>
    </row>
    <row r="157" spans="2:54" x14ac:dyDescent="0.3">
      <c r="B157" s="5"/>
      <c r="C157" s="1"/>
      <c r="D157" s="2"/>
      <c r="E157" s="7"/>
      <c r="F157" s="3"/>
      <c r="G157" s="3"/>
      <c r="H157" s="1"/>
      <c r="I157" s="3"/>
      <c r="J157" s="1"/>
      <c r="K157" s="3"/>
      <c r="Q157" s="5"/>
      <c r="R157" s="1"/>
      <c r="S157" s="2"/>
      <c r="U157" s="3"/>
      <c r="V157" s="3"/>
      <c r="W157" s="1"/>
      <c r="X157" s="3"/>
      <c r="Y157" s="1"/>
      <c r="Z157" s="3"/>
      <c r="AE157" s="5"/>
      <c r="AF157" s="1"/>
      <c r="AG157" s="2"/>
      <c r="AI157" s="3"/>
      <c r="AJ157" s="3"/>
      <c r="AK157" s="1"/>
      <c r="AL157" s="3"/>
      <c r="AM157" s="1"/>
      <c r="AN157" s="3"/>
      <c r="AS157" s="5"/>
      <c r="AT157" s="1"/>
      <c r="AU157" s="2"/>
      <c r="AW157" s="3"/>
      <c r="AX157" s="3"/>
      <c r="AY157" s="1"/>
      <c r="AZ157" s="3"/>
      <c r="BA157" s="5"/>
      <c r="BB157" s="3"/>
    </row>
    <row r="158" spans="2:54" x14ac:dyDescent="0.3">
      <c r="B158" s="5"/>
      <c r="C158" s="1"/>
      <c r="D158" s="2"/>
      <c r="E158" s="7"/>
      <c r="F158" s="3"/>
      <c r="G158" s="3"/>
      <c r="H158" s="1"/>
      <c r="I158" s="3"/>
      <c r="J158" s="1"/>
      <c r="K158" s="3"/>
      <c r="Q158" s="5"/>
      <c r="R158" s="1"/>
      <c r="S158" s="2"/>
      <c r="U158" s="3"/>
      <c r="V158" s="3"/>
      <c r="W158" s="1"/>
      <c r="X158" s="3"/>
      <c r="Y158" s="1"/>
      <c r="Z158" s="3"/>
      <c r="AE158" s="5"/>
      <c r="AF158" s="1"/>
      <c r="AG158" s="2"/>
      <c r="AI158" s="3"/>
      <c r="AJ158" s="3"/>
      <c r="AK158" s="1"/>
      <c r="AL158" s="3"/>
      <c r="AM158" s="1"/>
      <c r="AN158" s="3"/>
      <c r="AS158" s="5"/>
      <c r="AT158" s="1"/>
      <c r="AU158" s="2"/>
      <c r="AW158" s="3"/>
      <c r="AX158" s="3"/>
      <c r="AY158" s="1"/>
      <c r="AZ158" s="3"/>
      <c r="BA158" s="5"/>
      <c r="BB158" s="3"/>
    </row>
    <row r="159" spans="2:54" x14ac:dyDescent="0.3">
      <c r="B159" s="5"/>
      <c r="C159" s="1"/>
      <c r="D159" s="2"/>
      <c r="E159" s="7"/>
      <c r="F159" s="3"/>
      <c r="G159" s="3"/>
      <c r="H159" s="1"/>
      <c r="I159" s="3"/>
      <c r="J159" s="1"/>
      <c r="K159" s="3"/>
      <c r="Q159" s="5"/>
      <c r="R159" s="1"/>
      <c r="S159" s="2"/>
      <c r="U159" s="3"/>
      <c r="V159" s="3"/>
      <c r="W159" s="1"/>
      <c r="X159" s="3"/>
      <c r="Y159" s="1"/>
      <c r="Z159" s="3"/>
      <c r="AE159" s="5"/>
      <c r="AF159" s="1"/>
      <c r="AG159" s="2"/>
      <c r="AI159" s="3"/>
      <c r="AJ159" s="3"/>
      <c r="AK159" s="1"/>
      <c r="AL159" s="3"/>
      <c r="AM159" s="1"/>
      <c r="AN159" s="3"/>
      <c r="AS159" s="5"/>
      <c r="AT159" s="1"/>
      <c r="AU159" s="2"/>
      <c r="AW159" s="3"/>
      <c r="AX159" s="3"/>
      <c r="AY159" s="1"/>
      <c r="AZ159" s="3"/>
      <c r="BA159" s="5"/>
      <c r="BB159" s="3"/>
    </row>
    <row r="160" spans="2:54" x14ac:dyDescent="0.3">
      <c r="B160" s="5"/>
      <c r="C160" s="1"/>
      <c r="D160" s="2"/>
      <c r="E160" s="7"/>
      <c r="F160" s="3"/>
      <c r="G160" s="3"/>
      <c r="H160" s="1"/>
      <c r="I160" s="3"/>
      <c r="J160" s="1"/>
      <c r="K160" s="3"/>
      <c r="Q160" s="5"/>
      <c r="R160" s="1"/>
      <c r="S160" s="2"/>
      <c r="U160" s="3"/>
      <c r="V160" s="3"/>
      <c r="W160" s="1"/>
      <c r="X160" s="3"/>
      <c r="Y160" s="1"/>
      <c r="Z160" s="3"/>
      <c r="AE160" s="5"/>
      <c r="AF160" s="1"/>
      <c r="AG160" s="2"/>
      <c r="AI160" s="3"/>
      <c r="AJ160" s="3"/>
      <c r="AK160" s="1"/>
      <c r="AL160" s="3"/>
      <c r="AM160" s="1"/>
      <c r="AN160" s="3"/>
      <c r="AS160" s="5"/>
      <c r="AT160" s="1"/>
      <c r="AU160" s="2"/>
      <c r="AW160" s="3"/>
      <c r="AX160" s="3"/>
      <c r="AY160" s="1"/>
      <c r="AZ160" s="3"/>
      <c r="BA160" s="5"/>
      <c r="BB160" s="3"/>
    </row>
    <row r="161" spans="2:54" x14ac:dyDescent="0.3">
      <c r="B161" s="5"/>
      <c r="C161" s="1"/>
      <c r="D161" s="2"/>
      <c r="E161" s="7"/>
      <c r="F161" s="3"/>
      <c r="G161" s="3"/>
      <c r="H161" s="1"/>
      <c r="I161" s="3"/>
      <c r="J161" s="1"/>
      <c r="K161" s="3"/>
      <c r="Q161" s="5"/>
      <c r="R161" s="1"/>
      <c r="S161" s="2"/>
      <c r="U161" s="3"/>
      <c r="V161" s="3"/>
      <c r="W161" s="1"/>
      <c r="X161" s="3"/>
      <c r="Y161" s="1"/>
      <c r="Z161" s="3"/>
      <c r="AE161" s="5"/>
      <c r="AF161" s="1"/>
      <c r="AG161" s="2"/>
      <c r="AI161" s="3"/>
      <c r="AJ161" s="3"/>
      <c r="AK161" s="1"/>
      <c r="AL161" s="3"/>
      <c r="AM161" s="1"/>
      <c r="AN161" s="3"/>
      <c r="AS161" s="5"/>
      <c r="AT161" s="1"/>
      <c r="AU161" s="2"/>
      <c r="AW161" s="3"/>
      <c r="AX161" s="3"/>
      <c r="AY161" s="1"/>
      <c r="AZ161" s="3"/>
      <c r="BA161" s="5"/>
      <c r="BB161" s="3"/>
    </row>
    <row r="162" spans="2:54" x14ac:dyDescent="0.3">
      <c r="B162" s="5"/>
      <c r="C162" s="1"/>
      <c r="D162" s="2"/>
      <c r="E162" s="7"/>
      <c r="F162" s="3"/>
      <c r="G162" s="3"/>
      <c r="H162" s="1"/>
      <c r="I162" s="3"/>
      <c r="J162" s="1"/>
      <c r="K162" s="3"/>
      <c r="Q162" s="5"/>
      <c r="R162" s="1"/>
      <c r="S162" s="2"/>
      <c r="U162" s="3"/>
      <c r="V162" s="3"/>
      <c r="W162" s="1"/>
      <c r="X162" s="3"/>
      <c r="Y162" s="1"/>
      <c r="Z162" s="3"/>
      <c r="AE162" s="5"/>
      <c r="AF162" s="1"/>
      <c r="AG162" s="2"/>
      <c r="AI162" s="3"/>
      <c r="AJ162" s="3"/>
      <c r="AK162" s="1"/>
      <c r="AL162" s="3"/>
      <c r="AM162" s="1"/>
      <c r="AN162" s="3"/>
      <c r="AS162" s="5"/>
      <c r="AT162" s="1"/>
      <c r="AU162" s="2"/>
      <c r="AW162" s="3"/>
      <c r="AX162" s="3"/>
      <c r="AY162" s="1"/>
      <c r="AZ162" s="3"/>
      <c r="BA162" s="5"/>
      <c r="BB162" s="3"/>
    </row>
    <row r="163" spans="2:54" x14ac:dyDescent="0.3">
      <c r="B163" s="5"/>
      <c r="C163" s="1"/>
      <c r="D163" s="2"/>
      <c r="E163" s="7"/>
      <c r="F163" s="3"/>
      <c r="G163" s="3"/>
      <c r="H163" s="1"/>
      <c r="I163" s="3"/>
      <c r="J163" s="1"/>
      <c r="K163" s="3"/>
      <c r="Q163" s="5"/>
      <c r="R163" s="1"/>
      <c r="S163" s="2"/>
      <c r="U163" s="3"/>
      <c r="V163" s="3"/>
      <c r="W163" s="1"/>
      <c r="X163" s="3"/>
      <c r="Y163" s="1"/>
      <c r="Z163" s="3"/>
      <c r="AE163" s="5"/>
      <c r="AF163" s="1"/>
      <c r="AG163" s="2"/>
      <c r="AI163" s="3"/>
      <c r="AJ163" s="3"/>
      <c r="AK163" s="1"/>
      <c r="AL163" s="3"/>
      <c r="AM163" s="1"/>
      <c r="AN163" s="3"/>
      <c r="AS163" s="5"/>
      <c r="AT163" s="1"/>
      <c r="AU163" s="2"/>
      <c r="AW163" s="3"/>
      <c r="AX163" s="3"/>
      <c r="AY163" s="1"/>
      <c r="AZ163" s="3"/>
      <c r="BA163" s="5"/>
      <c r="BB163" s="3"/>
    </row>
    <row r="164" spans="2:54" x14ac:dyDescent="0.3">
      <c r="B164" s="5"/>
      <c r="C164" s="1"/>
      <c r="D164" s="2"/>
      <c r="E164" s="7"/>
      <c r="F164" s="3"/>
      <c r="G164" s="3"/>
      <c r="H164" s="1"/>
      <c r="I164" s="3"/>
      <c r="J164" s="1"/>
      <c r="K164" s="3"/>
      <c r="Q164" s="5"/>
      <c r="R164" s="1"/>
      <c r="S164" s="2"/>
      <c r="U164" s="3"/>
      <c r="V164" s="3"/>
      <c r="W164" s="1"/>
      <c r="X164" s="3"/>
      <c r="Y164" s="1"/>
      <c r="Z164" s="3"/>
      <c r="AE164" s="5"/>
      <c r="AF164" s="1"/>
      <c r="AG164" s="2"/>
      <c r="AI164" s="3"/>
      <c r="AJ164" s="3"/>
      <c r="AK164" s="1"/>
      <c r="AL164" s="3"/>
      <c r="AM164" s="1"/>
      <c r="AN164" s="3"/>
      <c r="AS164" s="5"/>
      <c r="AT164" s="1"/>
      <c r="AU164" s="2"/>
      <c r="AW164" s="3"/>
      <c r="AX164" s="3"/>
      <c r="AY164" s="1"/>
      <c r="AZ164" s="3"/>
      <c r="BA164" s="5"/>
      <c r="BB164" s="3"/>
    </row>
    <row r="165" spans="2:54" x14ac:dyDescent="0.3">
      <c r="B165" s="5"/>
      <c r="C165" s="1"/>
      <c r="D165" s="2"/>
      <c r="E165" s="7"/>
      <c r="F165" s="3"/>
      <c r="G165" s="3"/>
      <c r="H165" s="1"/>
      <c r="I165" s="3"/>
      <c r="J165" s="1"/>
      <c r="K165" s="3"/>
      <c r="Q165" s="5"/>
      <c r="R165" s="1"/>
      <c r="S165" s="2"/>
      <c r="U165" s="3"/>
      <c r="V165" s="3"/>
      <c r="W165" s="1"/>
      <c r="X165" s="3"/>
      <c r="Y165" s="1"/>
      <c r="Z165" s="3"/>
      <c r="AE165" s="5"/>
      <c r="AF165" s="1"/>
      <c r="AG165" s="2"/>
      <c r="AI165" s="3"/>
      <c r="AJ165" s="3"/>
      <c r="AK165" s="1"/>
      <c r="AL165" s="3"/>
      <c r="AM165" s="1"/>
      <c r="AN165" s="3"/>
      <c r="AS165" s="5"/>
      <c r="AT165" s="1"/>
      <c r="AU165" s="2"/>
      <c r="AW165" s="3"/>
      <c r="AX165" s="3"/>
      <c r="AY165" s="1"/>
      <c r="AZ165" s="3"/>
      <c r="BA165" s="5"/>
      <c r="BB165" s="3"/>
    </row>
  </sheetData>
  <mergeCells count="4">
    <mergeCell ref="B2:N2"/>
    <mergeCell ref="P2:AB2"/>
    <mergeCell ref="AE2:AQ2"/>
    <mergeCell ref="AS2:BE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Power Magmatic</vt:lpstr>
      <vt:lpstr>Cp_Rocks</vt:lpstr>
      <vt:lpstr>PowerConductive</vt:lpstr>
      <vt:lpstr>Power Remaining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Diehl</dc:creator>
  <cp:lastModifiedBy>Alexander Diehl</cp:lastModifiedBy>
  <dcterms:created xsi:type="dcterms:W3CDTF">2015-06-05T18:19:34Z</dcterms:created>
  <dcterms:modified xsi:type="dcterms:W3CDTF">2024-03-12T07:41:59Z</dcterms:modified>
</cp:coreProperties>
</file>