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9"/>
  <workbookPr codeName="ThisWorkbook"/>
  <mc:AlternateContent xmlns:mc="http://schemas.openxmlformats.org/markup-compatibility/2006">
    <mc:Choice Requires="x15">
      <x15ac:absPath xmlns:x15ac="http://schemas.microsoft.com/office/spreadsheetml/2010/11/ac" url="/Users/haukeschlesier/DigestingFossilInfrastructure/Databases/"/>
    </mc:Choice>
  </mc:AlternateContent>
  <xr:revisionPtr revIDLastSave="0" documentId="13_ncr:1_{E36B1234-EF35-3749-9FA9-207A62A2304D}" xr6:coauthVersionLast="47" xr6:coauthVersionMax="47" xr10:uidLastSave="{00000000-0000-0000-0000-000000000000}"/>
  <bookViews>
    <workbookView xWindow="0" yWindow="760" windowWidth="30240" windowHeight="17240" xr2:uid="{00000000-000D-0000-FFFF-FFFF00000000}"/>
  </bookViews>
  <sheets>
    <sheet name="EAF_prod_countries" sheetId="2" r:id="rId1"/>
    <sheet name="metadata" sheetId="3" r:id="rId2"/>
  </sheets>
  <definedNames>
    <definedName name="_xlnm._FilterDatabase" localSheetId="0" hidden="1">EAF_prod_countries!$A$1:$F$79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8" i="2" l="1"/>
  <c r="F77" i="2"/>
  <c r="F74" i="2"/>
  <c r="F70" i="2"/>
  <c r="D70" i="2"/>
  <c r="C60" i="2"/>
  <c r="D52" i="2"/>
  <c r="F52" i="2" s="1"/>
  <c r="C51" i="2"/>
  <c r="F51" i="2"/>
  <c r="F50" i="2"/>
  <c r="F47" i="2"/>
  <c r="D35" i="2"/>
  <c r="F27" i="2"/>
  <c r="F4" i="2"/>
  <c r="F13" i="2"/>
  <c r="F11" i="2"/>
  <c r="F10" i="2"/>
  <c r="E10" i="2"/>
  <c r="F9" i="2"/>
  <c r="D3" i="2"/>
  <c r="F3" i="2" s="1"/>
  <c r="F2" i="2"/>
  <c r="F8" i="2"/>
  <c r="F72" i="2"/>
  <c r="F46" i="2"/>
  <c r="F31" i="2"/>
  <c r="F33" i="2"/>
  <c r="F34" i="2"/>
  <c r="F39" i="2"/>
  <c r="F41" i="2"/>
  <c r="F44" i="2"/>
  <c r="F45" i="2"/>
  <c r="F54" i="2"/>
  <c r="F55" i="2"/>
  <c r="F57" i="2"/>
  <c r="F58" i="2"/>
  <c r="F59" i="2"/>
  <c r="F62" i="2"/>
  <c r="F63" i="2"/>
  <c r="F64" i="2"/>
  <c r="F65" i="2"/>
  <c r="F66" i="2"/>
  <c r="F67" i="2"/>
  <c r="F69" i="2"/>
  <c r="F73" i="2"/>
  <c r="F75" i="2"/>
  <c r="F80" i="2"/>
  <c r="F81" i="2"/>
  <c r="F82" i="2"/>
  <c r="F84" i="2"/>
  <c r="F85" i="2"/>
  <c r="F86" i="2"/>
  <c r="F87" i="2"/>
  <c r="F88" i="2"/>
  <c r="B83" i="2"/>
  <c r="C83" i="2" s="1"/>
  <c r="B90" i="2"/>
  <c r="D90" i="2" s="1"/>
  <c r="B89" i="2"/>
  <c r="C89" i="2" s="1"/>
  <c r="B70" i="2"/>
  <c r="B50" i="2"/>
  <c r="B49" i="2"/>
  <c r="F49" i="2" s="1"/>
  <c r="B48" i="2"/>
  <c r="F48" i="2" s="1"/>
  <c r="B43" i="2"/>
  <c r="F43" i="2" s="1"/>
  <c r="B42" i="2"/>
  <c r="F42" i="2" s="1"/>
  <c r="B40" i="2"/>
  <c r="F40" i="2" s="1"/>
  <c r="B38" i="2"/>
  <c r="F38" i="2" s="1"/>
  <c r="B37" i="2"/>
  <c r="F37" i="2" s="1"/>
  <c r="B36" i="2"/>
  <c r="F36" i="2" s="1"/>
  <c r="B35" i="2"/>
  <c r="F35" i="2" s="1"/>
  <c r="B32" i="2"/>
  <c r="F32" i="2" s="1"/>
  <c r="B30" i="2"/>
  <c r="F30" i="2" s="1"/>
  <c r="B51" i="2"/>
  <c r="B52" i="2"/>
  <c r="B56" i="2"/>
  <c r="F56" i="2" s="1"/>
  <c r="B53" i="2"/>
  <c r="F53" i="2" s="1"/>
  <c r="B60" i="2"/>
  <c r="F60" i="2" s="1"/>
  <c r="B61" i="2"/>
  <c r="F61" i="2" s="1"/>
  <c r="B68" i="2"/>
  <c r="F68" i="2" s="1"/>
  <c r="B71" i="2"/>
  <c r="F71" i="2" s="1"/>
  <c r="B74" i="2"/>
  <c r="B76" i="2"/>
  <c r="F76" i="2" s="1"/>
  <c r="B79" i="2"/>
  <c r="F79" i="2" s="1"/>
  <c r="C52" i="2" l="1"/>
  <c r="F90" i="2"/>
  <c r="D89" i="2"/>
  <c r="F89" i="2" s="1"/>
  <c r="C90" i="2"/>
  <c r="D83" i="2"/>
  <c r="F8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tc={1E463922-333B-184E-8F77-B30F6EFAE5DA}</author>
    <author>tc={DD321E65-3986-C349-9BD6-24EA6F959299}</author>
    <author>tc={E462201A-F0EA-4342-97AD-3F3E55A2D070}</author>
    <author>tc={F2DBC76F-80C7-A842-973E-E77C1D804F29}</author>
    <author>tc={689FC1A3-E4AF-9941-B1C9-A0761D564774}</author>
    <author>tc={FFEB6A9C-8654-874C-BD5C-CC5E34238E4B}</author>
    <author>tc={814FE736-C7D9-F149-82BC-B8BEFB245E58}</author>
  </authors>
  <commentList>
    <comment ref="C3" authorId="0" shapeId="0" xr:uid="{1E463922-333B-184E-8F77-B30F6EFAE5DA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Estimated with capacity</t>
      </text>
    </comment>
    <comment ref="D10" authorId="1" shapeId="0" xr:uid="{DD321E65-3986-C349-9BD6-24EA6F959299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Estimated from capacity</t>
      </text>
    </comment>
    <comment ref="D40" authorId="2" shapeId="0" xr:uid="{E462201A-F0EA-4342-97AD-3F3E55A2D070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Estimated by capacity share</t>
      </text>
    </comment>
    <comment ref="D47" authorId="3" shapeId="0" xr:uid="{F2DBC76F-80C7-A842-973E-E77C1D804F29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Estimated by capacity share</t>
      </text>
    </comment>
    <comment ref="C51" authorId="4" shapeId="0" xr:uid="{689FC1A3-E4AF-9941-B1C9-A0761D564774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Estimated with capacity share</t>
      </text>
    </comment>
    <comment ref="C60" authorId="5" shapeId="0" xr:uid="{FFEB6A9C-8654-874C-BD5C-CC5E34238E4B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Estimated with capacity share</t>
      </text>
    </comment>
    <comment ref="D74" authorId="6" shapeId="0" xr:uid="{814FE736-C7D9-F149-82BC-B8BEFB245E58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Estimated with capacity share</t>
      </text>
    </comment>
  </commentList>
</comments>
</file>

<file path=xl/sharedStrings.xml><?xml version="1.0" encoding="utf-8"?>
<sst xmlns="http://schemas.openxmlformats.org/spreadsheetml/2006/main" count="216" uniqueCount="142">
  <si>
    <t>Albania</t>
  </si>
  <si>
    <t>Algeria</t>
  </si>
  <si>
    <t>Argentina</t>
  </si>
  <si>
    <t>Australia</t>
  </si>
  <si>
    <t>Austria</t>
  </si>
  <si>
    <t>Azerbaijan</t>
  </si>
  <si>
    <t>Bahrain</t>
  </si>
  <si>
    <t>Bangladesh</t>
  </si>
  <si>
    <t>Belarus</t>
  </si>
  <si>
    <t>Belgium</t>
  </si>
  <si>
    <t>Brazil</t>
  </si>
  <si>
    <t>Bulgaria</t>
  </si>
  <si>
    <t>Canada</t>
  </si>
  <si>
    <t>Chile</t>
  </si>
  <si>
    <t>China</t>
  </si>
  <si>
    <t>Croatia</t>
  </si>
  <si>
    <t>Czechia</t>
  </si>
  <si>
    <t>Egypt</t>
  </si>
  <si>
    <t>Finland</t>
  </si>
  <si>
    <t>France</t>
  </si>
  <si>
    <t>Germany</t>
  </si>
  <si>
    <t>Ghana</t>
  </si>
  <si>
    <t>Greece</t>
  </si>
  <si>
    <t>Guatemala</t>
  </si>
  <si>
    <t>Hungary</t>
  </si>
  <si>
    <t>India</t>
  </si>
  <si>
    <t>Indonesia</t>
  </si>
  <si>
    <t>Iran</t>
  </si>
  <si>
    <t>Iraq</t>
  </si>
  <si>
    <t>Italy</t>
  </si>
  <si>
    <t>Japan</t>
  </si>
  <si>
    <t>Kazakhstan</t>
  </si>
  <si>
    <t>Kenya</t>
  </si>
  <si>
    <t>Kuwait</t>
  </si>
  <si>
    <t>Libya</t>
  </si>
  <si>
    <t>Luxembourg</t>
  </si>
  <si>
    <t>Malaysia</t>
  </si>
  <si>
    <t>Mexico</t>
  </si>
  <si>
    <t>Moldova</t>
  </si>
  <si>
    <t>Morocco</t>
  </si>
  <si>
    <t>Netherlands</t>
  </si>
  <si>
    <t>New Zealand</t>
  </si>
  <si>
    <t>Norway</t>
  </si>
  <si>
    <t>Oman</t>
  </si>
  <si>
    <t>Pakistan</t>
  </si>
  <si>
    <t>Peru</t>
  </si>
  <si>
    <t>Philippines</t>
  </si>
  <si>
    <t>Poland</t>
  </si>
  <si>
    <t>Portugal</t>
  </si>
  <si>
    <t>Qatar</t>
  </si>
  <si>
    <t>Romania</t>
  </si>
  <si>
    <t>Russia</t>
  </si>
  <si>
    <t>Saudi Arabia</t>
  </si>
  <si>
    <t>Serbia</t>
  </si>
  <si>
    <t>Singapore</t>
  </si>
  <si>
    <t>Slovakia</t>
  </si>
  <si>
    <t>Slovenia</t>
  </si>
  <si>
    <t>South Africa</t>
  </si>
  <si>
    <t>South Korea</t>
  </si>
  <si>
    <t>Spain</t>
  </si>
  <si>
    <t>Sweden</t>
  </si>
  <si>
    <t>Switzerland</t>
  </si>
  <si>
    <t>Thailand</t>
  </si>
  <si>
    <t>Ukraine</t>
  </si>
  <si>
    <t>United Arab Emirates</t>
  </si>
  <si>
    <t>United Kingdom</t>
  </si>
  <si>
    <t>Uzbekistan</t>
  </si>
  <si>
    <t>Venezuela</t>
  </si>
  <si>
    <t> 90.7</t>
  </si>
  <si>
    <t> 100.0</t>
  </si>
  <si>
    <t> 69.3</t>
  </si>
  <si>
    <t> 95.6</t>
  </si>
  <si>
    <t> 62.0</t>
  </si>
  <si>
    <t> 59.2</t>
  </si>
  <si>
    <t> 72.3</t>
  </si>
  <si>
    <t> 52.3</t>
  </si>
  <si>
    <t> 14.2</t>
  </si>
  <si>
    <t> 48.8</t>
  </si>
  <si>
    <t> 53.2</t>
  </si>
  <si>
    <t> 90.0</t>
  </si>
  <si>
    <t> 28.1</t>
  </si>
  <si>
    <t> 68.6</t>
  </si>
  <si>
    <t> 79.6</t>
  </si>
  <si>
    <t> 43.6</t>
  </si>
  <si>
    <t> 65.1</t>
  </si>
  <si>
    <t> 2.9</t>
  </si>
  <si>
    <t> 48.1</t>
  </si>
  <si>
    <t> 39.6</t>
  </si>
  <si>
    <t> 58.2</t>
  </si>
  <si>
    <t> 6.6</t>
  </si>
  <si>
    <t> 42.9</t>
  </si>
  <si>
    <t> 76.2</t>
  </si>
  <si>
    <t> 1.3</t>
  </si>
  <si>
    <t> 61.5</t>
  </si>
  <si>
    <t> 56.8</t>
  </si>
  <si>
    <t> 7.9</t>
  </si>
  <si>
    <t> 90.1</t>
  </si>
  <si>
    <t> 73.8</t>
  </si>
  <si>
    <t> 70.5</t>
  </si>
  <si>
    <t> 73.2</t>
  </si>
  <si>
    <t>BOF %</t>
  </si>
  <si>
    <t>EAF %</t>
  </si>
  <si>
    <t>Other %</t>
  </si>
  <si>
    <t>Mt EAF</t>
  </si>
  <si>
    <t>Data</t>
  </si>
  <si>
    <t>Worldsteel 2024</t>
  </si>
  <si>
    <t>https://worldsteel.org/data/world-steel-in-figures-2024/#crude-steel-production-by-process-2023</t>
  </si>
  <si>
    <t>last access</t>
  </si>
  <si>
    <t>United States of America</t>
  </si>
  <si>
    <t>Bosnia and Herz.</t>
  </si>
  <si>
    <t>Taiwan</t>
  </si>
  <si>
    <t>North Macedonia</t>
  </si>
  <si>
    <t>Vietnam</t>
  </si>
  <si>
    <t>Turkey</t>
  </si>
  <si>
    <t>North Korea</t>
  </si>
  <si>
    <t>Uganda</t>
  </si>
  <si>
    <t>https://worldsteel.org/data/annual-production-steel-data/?ind=P1_crude_steel_total_pub/CHN/IND</t>
  </si>
  <si>
    <t>url 2</t>
  </si>
  <si>
    <t>url 1</t>
  </si>
  <si>
    <t>country</t>
  </si>
  <si>
    <t>https://static1.squarespace.com/static/5877e86f9de4bb8bce72105c/t/624ebc5e1f5e2f3078c53a07/1649327229553/Steel+climate+impact-benchmarking+report+7April2022.pdf</t>
  </si>
  <si>
    <t>https://energyandcleanair.org/wp/wp-content/uploads/2024/12/EN-Press-release_CREA_80-of-Indonesias-steel-industries-still-using-high-emissions-tech-lagging-global-and-regional-progress.pdf</t>
  </si>
  <si>
    <t>source</t>
  </si>
  <si>
    <t>European Union (27)</t>
  </si>
  <si>
    <t>Other Europe</t>
  </si>
  <si>
    <t>Russia &amp; other CIS + Ukraine</t>
  </si>
  <si>
    <t>North America</t>
  </si>
  <si>
    <t>Europe</t>
  </si>
  <si>
    <t>South America</t>
  </si>
  <si>
    <t>Africa</t>
  </si>
  <si>
    <t>Middle East</t>
  </si>
  <si>
    <t>Asia (except Middle East)</t>
  </si>
  <si>
    <t>Asia</t>
  </si>
  <si>
    <t>Oceania</t>
  </si>
  <si>
    <t>GEM Steel Tracker</t>
  </si>
  <si>
    <t>Nigeria</t>
  </si>
  <si>
    <t>https://www.ugandainvest.go.ug/uganda-has-huge-investment-opportunities-in-iron-and-steel-sector/#:~:text=Uganda's%20steel%20production%20(for%20both,smelting%20in%20the%20induction%20furnaces.</t>
  </si>
  <si>
    <t>Angola</t>
  </si>
  <si>
    <t>https://intelpoint.co/insights/egypt-accounted-for-43-of-africas-crude-steel-production-in-2023/</t>
  </si>
  <si>
    <t>Total steel production [Mt]</t>
  </si>
  <si>
    <t>GEM Steel Tracker, https://tradingeconomics.com/venezuela/steel-production</t>
  </si>
  <si>
    <t>Worldsteel 2023, https://wtocenter.vn/file/19046/02_steelvietnam-steel-industry-overview-and-trends_vsa14.04.2023.pdf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</si>
</sst>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7" x14ac:knownFonts="1">
    <font>
      <sz val="11"/>
      <color rgb="FF000000"/>
      <name val="Calibri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1A171B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ahoma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2" fontId="2" fillId="0" borderId="0" xfId="0" applyNumberFormat="1" applyFont="1"/>
    <xf numFmtId="2" fontId="3" fillId="0" borderId="0" xfId="0" applyNumberFormat="1" applyFont="1"/>
    <xf numFmtId="0" fontId="1" fillId="0" borderId="0" xfId="0" applyFont="1"/>
    <xf numFmtId="14" fontId="0" fillId="0" borderId="0" xfId="0" applyNumberFormat="1"/>
    <xf numFmtId="2" fontId="4" fillId="0" borderId="0" xfId="0" applyNumberFormat="1" applyFont="1"/>
    <xf numFmtId="167" fontId="2" fillId="0" borderId="0" xfId="0" applyNumberFormat="1" applyFont="1"/>
  </cellXfs>
  <cellStyles count="1">
    <cellStyle name="Standard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chlesier, Hauke" id="{52AC40BD-C6A6-7B43-83E8-D6BF8715282D}" userId="S::hauke.schlesier@empa.ch::4fdc8824-559c-4239-bb22-9ab8ae4d7674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" dT="2025-02-11T14:37:10.52" personId="{52AC40BD-C6A6-7B43-83E8-D6BF8715282D}" id="{1E463922-333B-184E-8F77-B30F6EFAE5DA}">
    <text>Estimated with capacity</text>
  </threadedComment>
  <threadedComment ref="D10" dT="2025-02-11T14:42:42.28" personId="{52AC40BD-C6A6-7B43-83E8-D6BF8715282D}" id="{DD321E65-3986-C349-9BD6-24EA6F959299}">
    <text>Estimated from capacity</text>
  </threadedComment>
  <threadedComment ref="D40" dT="2025-02-11T15:04:03.73" personId="{52AC40BD-C6A6-7B43-83E8-D6BF8715282D}" id="{E462201A-F0EA-4342-97AD-3F3E55A2D070}">
    <text>Estimated by capacity share</text>
  </threadedComment>
  <threadedComment ref="D47" dT="2025-02-11T15:13:30.11" personId="{52AC40BD-C6A6-7B43-83E8-D6BF8715282D}" id="{F2DBC76F-80C7-A842-973E-E77C1D804F29}">
    <text>Estimated by capacity share</text>
  </threadedComment>
  <threadedComment ref="C51" dT="2025-02-11T15:31:39.73" personId="{52AC40BD-C6A6-7B43-83E8-D6BF8715282D}" id="{689FC1A3-E4AF-9941-B1C9-A0761D564774}">
    <text>Estimated with capacity share</text>
  </threadedComment>
  <threadedComment ref="C60" dT="2025-02-11T15:39:18.82" personId="{52AC40BD-C6A6-7B43-83E8-D6BF8715282D}" id="{FFEB6A9C-8654-874C-BD5C-CC5E34238E4B}">
    <text>Estimated with capacity share</text>
  </threadedComment>
  <threadedComment ref="D74" dT="2025-02-11T15:51:03.68" personId="{52AC40BD-C6A6-7B43-83E8-D6BF8715282D}" id="{814FE736-C7D9-F149-82BC-B8BEFB245E58}">
    <text>Estimated with capacity share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89341-0EA6-4346-9F01-D715DA963C3F}">
  <dimension ref="A1:K9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29" sqref="E29"/>
    </sheetView>
  </sheetViews>
  <sheetFormatPr baseColWidth="10" defaultRowHeight="15" x14ac:dyDescent="0.2"/>
  <cols>
    <col min="1" max="1" width="22.5" style="1" bestFit="1" customWidth="1"/>
    <col min="2" max="5" width="10.83203125" style="3"/>
    <col min="6" max="16384" width="10.83203125" style="1"/>
  </cols>
  <sheetData>
    <row r="1" spans="1:11" x14ac:dyDescent="0.2">
      <c r="A1" s="1" t="s">
        <v>119</v>
      </c>
      <c r="B1" s="3" t="s">
        <v>139</v>
      </c>
      <c r="C1" s="3" t="s">
        <v>100</v>
      </c>
      <c r="D1" s="3" t="s">
        <v>101</v>
      </c>
      <c r="E1" s="3" t="s">
        <v>102</v>
      </c>
      <c r="F1" s="1" t="s">
        <v>103</v>
      </c>
      <c r="G1" s="3" t="s">
        <v>122</v>
      </c>
    </row>
    <row r="2" spans="1:11" x14ac:dyDescent="0.2">
      <c r="A2" s="1" t="s">
        <v>0</v>
      </c>
      <c r="B2" s="3">
        <v>0.36199999999999999</v>
      </c>
      <c r="D2" s="3">
        <v>100</v>
      </c>
      <c r="F2" s="8">
        <f>D2*B2/100</f>
        <v>0.36199999999999993</v>
      </c>
      <c r="G2" s="1" t="s">
        <v>134</v>
      </c>
    </row>
    <row r="3" spans="1:11" x14ac:dyDescent="0.2">
      <c r="A3" s="1" t="s">
        <v>1</v>
      </c>
      <c r="B3" s="3">
        <v>4.5199999999999996</v>
      </c>
      <c r="C3" s="3">
        <v>16.5</v>
      </c>
      <c r="D3" s="3">
        <f>100-C3</f>
        <v>83.5</v>
      </c>
      <c r="F3" s="8">
        <f>D3*B3/100</f>
        <v>3.7741999999999996</v>
      </c>
      <c r="G3" s="1" t="s">
        <v>134</v>
      </c>
    </row>
    <row r="4" spans="1:11" x14ac:dyDescent="0.2">
      <c r="A4" s="1" t="s">
        <v>137</v>
      </c>
      <c r="B4" s="3">
        <v>0.27</v>
      </c>
      <c r="C4" s="3">
        <v>100</v>
      </c>
      <c r="D4" s="3">
        <v>0</v>
      </c>
      <c r="F4" s="8">
        <f t="shared" ref="F4" si="0">B4*D4/100</f>
        <v>0</v>
      </c>
      <c r="G4" s="1" t="s">
        <v>138</v>
      </c>
    </row>
    <row r="5" spans="1:11" x14ac:dyDescent="0.2">
      <c r="A5" s="2" t="s">
        <v>2</v>
      </c>
      <c r="B5" s="4">
        <v>4.9000000000000004</v>
      </c>
      <c r="C5" s="4" t="s">
        <v>90</v>
      </c>
      <c r="D5" s="4">
        <v>57.1</v>
      </c>
      <c r="E5" s="4"/>
      <c r="F5" s="8">
        <v>2.7979000000000003</v>
      </c>
      <c r="G5" t="s">
        <v>106</v>
      </c>
    </row>
    <row r="6" spans="1:11" x14ac:dyDescent="0.2">
      <c r="A6" s="2" t="s">
        <v>3</v>
      </c>
      <c r="B6" s="4">
        <v>5.5</v>
      </c>
      <c r="C6" s="4" t="s">
        <v>99</v>
      </c>
      <c r="D6" s="4">
        <v>26.8</v>
      </c>
      <c r="E6" s="4"/>
      <c r="F6" s="8">
        <v>1.474</v>
      </c>
      <c r="G6" t="s">
        <v>106</v>
      </c>
    </row>
    <row r="7" spans="1:11" x14ac:dyDescent="0.2">
      <c r="A7" s="2" t="s">
        <v>4</v>
      </c>
      <c r="B7" s="4">
        <v>7.1</v>
      </c>
      <c r="C7" s="4" t="s">
        <v>68</v>
      </c>
      <c r="D7" s="4">
        <v>9.3000000000000007</v>
      </c>
      <c r="E7" s="4"/>
      <c r="F7" s="8">
        <v>0.6603</v>
      </c>
      <c r="G7" t="s">
        <v>106</v>
      </c>
    </row>
    <row r="8" spans="1:11" x14ac:dyDescent="0.2">
      <c r="A8" s="1" t="s">
        <v>5</v>
      </c>
      <c r="B8" s="3">
        <v>0.35</v>
      </c>
      <c r="C8" s="3">
        <v>0</v>
      </c>
      <c r="D8" s="3">
        <v>100</v>
      </c>
      <c r="F8" s="8">
        <f t="shared" ref="F8:F13" si="1">B8*D8/100</f>
        <v>0.35</v>
      </c>
      <c r="G8" s="1" t="s">
        <v>134</v>
      </c>
    </row>
    <row r="9" spans="1:11" x14ac:dyDescent="0.2">
      <c r="A9" s="1" t="s">
        <v>6</v>
      </c>
      <c r="B9" s="3">
        <v>1.2050000000000001</v>
      </c>
      <c r="D9" s="3">
        <v>100</v>
      </c>
      <c r="F9" s="8">
        <f t="shared" si="1"/>
        <v>1.2050000000000001</v>
      </c>
      <c r="G9" s="1" t="s">
        <v>134</v>
      </c>
    </row>
    <row r="10" spans="1:11" x14ac:dyDescent="0.2">
      <c r="A10" s="1" t="s">
        <v>7</v>
      </c>
      <c r="B10" s="3">
        <v>4.5</v>
      </c>
      <c r="D10" s="3">
        <v>34</v>
      </c>
      <c r="E10" s="3">
        <f>100-D10</f>
        <v>66</v>
      </c>
      <c r="F10" s="8">
        <f t="shared" si="1"/>
        <v>1.53</v>
      </c>
      <c r="G10" s="1" t="s">
        <v>134</v>
      </c>
      <c r="I10" s="3"/>
      <c r="K10" s="3"/>
    </row>
    <row r="11" spans="1:11" x14ac:dyDescent="0.2">
      <c r="A11" s="1" t="s">
        <v>8</v>
      </c>
      <c r="B11" s="7">
        <v>2.33</v>
      </c>
      <c r="C11" s="7"/>
      <c r="D11" s="7">
        <v>100</v>
      </c>
      <c r="E11" s="7"/>
      <c r="F11" s="8">
        <f t="shared" si="1"/>
        <v>2.33</v>
      </c>
      <c r="G11" s="1" t="s">
        <v>134</v>
      </c>
    </row>
    <row r="12" spans="1:11" x14ac:dyDescent="0.2">
      <c r="A12" s="2" t="s">
        <v>9</v>
      </c>
      <c r="B12" s="4">
        <v>5.9</v>
      </c>
      <c r="C12" s="4" t="s">
        <v>70</v>
      </c>
      <c r="D12" s="4">
        <v>30.7</v>
      </c>
      <c r="E12" s="4"/>
      <c r="F12" s="8">
        <v>1.8112999999999999</v>
      </c>
      <c r="G12" t="s">
        <v>106</v>
      </c>
    </row>
    <row r="13" spans="1:11" x14ac:dyDescent="0.2">
      <c r="A13" s="1" t="s">
        <v>109</v>
      </c>
      <c r="B13" s="3">
        <v>0.6</v>
      </c>
      <c r="C13" s="3">
        <v>100</v>
      </c>
      <c r="D13" s="3">
        <v>0</v>
      </c>
      <c r="F13" s="8">
        <f t="shared" si="1"/>
        <v>0</v>
      </c>
      <c r="G13" s="1" t="s">
        <v>134</v>
      </c>
    </row>
    <row r="14" spans="1:11" x14ac:dyDescent="0.2">
      <c r="A14" s="2" t="s">
        <v>10</v>
      </c>
      <c r="B14" s="4">
        <v>31.8</v>
      </c>
      <c r="C14" s="4" t="s">
        <v>91</v>
      </c>
      <c r="D14" s="4">
        <v>22.5</v>
      </c>
      <c r="E14" s="4" t="s">
        <v>92</v>
      </c>
      <c r="F14" s="8">
        <v>7.1550000000000002</v>
      </c>
      <c r="G14" t="s">
        <v>106</v>
      </c>
    </row>
    <row r="15" spans="1:11" x14ac:dyDescent="0.2">
      <c r="A15" s="2" t="s">
        <v>11</v>
      </c>
      <c r="B15" s="4">
        <v>0.5</v>
      </c>
      <c r="C15" s="4"/>
      <c r="D15" s="4">
        <v>100</v>
      </c>
      <c r="E15" s="4"/>
      <c r="F15" s="8">
        <v>0.5</v>
      </c>
      <c r="G15" t="s">
        <v>106</v>
      </c>
    </row>
    <row r="16" spans="1:11" x14ac:dyDescent="0.2">
      <c r="A16" s="2" t="s">
        <v>12</v>
      </c>
      <c r="B16" s="4">
        <v>12.2</v>
      </c>
      <c r="C16" s="4" t="s">
        <v>88</v>
      </c>
      <c r="D16" s="4">
        <v>41.8</v>
      </c>
      <c r="E16" s="4"/>
      <c r="F16" s="8">
        <v>5.0995999999999988</v>
      </c>
      <c r="G16" t="s">
        <v>106</v>
      </c>
    </row>
    <row r="17" spans="1:7" x14ac:dyDescent="0.2">
      <c r="A17" s="2" t="s">
        <v>13</v>
      </c>
      <c r="B17" s="4">
        <v>1.2</v>
      </c>
      <c r="C17" s="4" t="s">
        <v>93</v>
      </c>
      <c r="D17" s="4">
        <v>38.5</v>
      </c>
      <c r="E17" s="4"/>
      <c r="F17" s="8">
        <v>0.46199999999999997</v>
      </c>
      <c r="G17" t="s">
        <v>106</v>
      </c>
    </row>
    <row r="18" spans="1:7" x14ac:dyDescent="0.2">
      <c r="A18" s="2" t="s">
        <v>14</v>
      </c>
      <c r="B18" s="4">
        <v>1019.1</v>
      </c>
      <c r="C18" s="4" t="s">
        <v>96</v>
      </c>
      <c r="D18" s="4">
        <v>9.9</v>
      </c>
      <c r="E18" s="4"/>
      <c r="F18" s="8">
        <v>100.8909</v>
      </c>
      <c r="G18" t="s">
        <v>106</v>
      </c>
    </row>
    <row r="19" spans="1:7" x14ac:dyDescent="0.2">
      <c r="A19" s="2" t="s">
        <v>15</v>
      </c>
      <c r="B19" s="4">
        <v>0.2</v>
      </c>
      <c r="C19" s="4"/>
      <c r="D19" s="4">
        <v>100</v>
      </c>
      <c r="E19" s="4"/>
      <c r="F19" s="8">
        <v>0.2</v>
      </c>
      <c r="G19" t="s">
        <v>106</v>
      </c>
    </row>
    <row r="20" spans="1:7" x14ac:dyDescent="0.2">
      <c r="A20" s="2" t="s">
        <v>16</v>
      </c>
      <c r="B20" s="4">
        <v>3.4</v>
      </c>
      <c r="C20" s="4" t="s">
        <v>71</v>
      </c>
      <c r="D20" s="4">
        <v>4.4000000000000004</v>
      </c>
      <c r="E20" s="4"/>
      <c r="F20" s="8">
        <v>0.14960000000000001</v>
      </c>
      <c r="G20" t="s">
        <v>106</v>
      </c>
    </row>
    <row r="21" spans="1:7" x14ac:dyDescent="0.2">
      <c r="A21" s="2" t="s">
        <v>17</v>
      </c>
      <c r="B21" s="4">
        <v>10.4</v>
      </c>
      <c r="C21" s="4"/>
      <c r="D21" s="4">
        <v>100</v>
      </c>
      <c r="E21" s="4"/>
      <c r="F21" s="8">
        <v>10.4</v>
      </c>
      <c r="G21" t="s">
        <v>106</v>
      </c>
    </row>
    <row r="22" spans="1:7" x14ac:dyDescent="0.2">
      <c r="A22" s="2" t="s">
        <v>18</v>
      </c>
      <c r="B22" s="4">
        <v>3.8</v>
      </c>
      <c r="C22" s="4" t="s">
        <v>72</v>
      </c>
      <c r="D22" s="4">
        <v>38</v>
      </c>
      <c r="E22" s="4"/>
      <c r="F22" s="8">
        <v>1.444</v>
      </c>
      <c r="G22" t="s">
        <v>106</v>
      </c>
    </row>
    <row r="23" spans="1:7" x14ac:dyDescent="0.2">
      <c r="A23" s="2" t="s">
        <v>19</v>
      </c>
      <c r="B23" s="4">
        <v>10</v>
      </c>
      <c r="C23" s="4" t="s">
        <v>73</v>
      </c>
      <c r="D23" s="4">
        <v>40.799999999999997</v>
      </c>
      <c r="E23" s="4"/>
      <c r="F23" s="8">
        <v>4.08</v>
      </c>
      <c r="G23" t="s">
        <v>106</v>
      </c>
    </row>
    <row r="24" spans="1:7" x14ac:dyDescent="0.2">
      <c r="A24" s="2" t="s">
        <v>20</v>
      </c>
      <c r="B24" s="4">
        <v>35.4</v>
      </c>
      <c r="C24" s="4" t="s">
        <v>74</v>
      </c>
      <c r="D24" s="4">
        <v>27.7</v>
      </c>
      <c r="E24" s="4"/>
      <c r="F24" s="8">
        <v>9.8057999999999996</v>
      </c>
      <c r="G24" t="s">
        <v>106</v>
      </c>
    </row>
    <row r="25" spans="1:7" x14ac:dyDescent="0.2">
      <c r="A25" s="1" t="s">
        <v>21</v>
      </c>
      <c r="B25" s="3">
        <v>0.245</v>
      </c>
      <c r="D25" s="3">
        <v>100</v>
      </c>
      <c r="F25" s="8">
        <v>1.2</v>
      </c>
      <c r="G25" s="1" t="s">
        <v>134</v>
      </c>
    </row>
    <row r="26" spans="1:7" x14ac:dyDescent="0.2">
      <c r="A26" s="2" t="s">
        <v>22</v>
      </c>
      <c r="B26" s="4">
        <v>1.2</v>
      </c>
      <c r="C26" s="4"/>
      <c r="D26" s="4">
        <v>100</v>
      </c>
      <c r="E26" s="4"/>
      <c r="F26" s="8">
        <v>1.2</v>
      </c>
      <c r="G26" t="s">
        <v>106</v>
      </c>
    </row>
    <row r="27" spans="1:7" x14ac:dyDescent="0.2">
      <c r="A27" s="1" t="s">
        <v>23</v>
      </c>
      <c r="B27" s="3">
        <v>0.245</v>
      </c>
      <c r="D27" s="3">
        <v>100</v>
      </c>
      <c r="F27" s="8">
        <f>B27*D27/100</f>
        <v>0.245</v>
      </c>
      <c r="G27" s="1" t="s">
        <v>134</v>
      </c>
    </row>
    <row r="28" spans="1:7" x14ac:dyDescent="0.2">
      <c r="A28" s="2" t="s">
        <v>24</v>
      </c>
      <c r="B28" s="4">
        <v>0.5</v>
      </c>
      <c r="C28" s="4" t="s">
        <v>75</v>
      </c>
      <c r="D28" s="4">
        <v>47.7</v>
      </c>
      <c r="E28" s="4"/>
      <c r="F28" s="8">
        <v>0.23850000000000002</v>
      </c>
      <c r="G28" t="s">
        <v>106</v>
      </c>
    </row>
    <row r="29" spans="1:7" x14ac:dyDescent="0.2">
      <c r="A29" s="2" t="s">
        <v>25</v>
      </c>
      <c r="B29" s="4">
        <v>140.80000000000001</v>
      </c>
      <c r="C29" s="4" t="s">
        <v>83</v>
      </c>
      <c r="D29" s="4">
        <v>26</v>
      </c>
      <c r="E29" s="4">
        <v>28</v>
      </c>
      <c r="F29" s="8">
        <v>79.411200000000008</v>
      </c>
      <c r="G29" t="s">
        <v>106</v>
      </c>
    </row>
    <row r="30" spans="1:7" x14ac:dyDescent="0.2">
      <c r="A30" s="1" t="s">
        <v>26</v>
      </c>
      <c r="B30" s="3">
        <f>17000/1000</f>
        <v>17</v>
      </c>
      <c r="D30" s="3">
        <v>20</v>
      </c>
      <c r="F30" s="8">
        <f>B30*D30/100</f>
        <v>3.4</v>
      </c>
      <c r="G30" s="1" t="s">
        <v>121</v>
      </c>
    </row>
    <row r="31" spans="1:7" x14ac:dyDescent="0.2">
      <c r="A31" s="2" t="s">
        <v>27</v>
      </c>
      <c r="B31" s="4">
        <v>31</v>
      </c>
      <c r="C31" s="4" t="s">
        <v>95</v>
      </c>
      <c r="D31" s="4">
        <v>92.1</v>
      </c>
      <c r="E31" s="4"/>
      <c r="F31" s="8">
        <f t="shared" ref="F31:F61" si="2">B31*D31/100</f>
        <v>28.550999999999998</v>
      </c>
      <c r="G31" t="s">
        <v>106</v>
      </c>
    </row>
    <row r="32" spans="1:7" x14ac:dyDescent="0.2">
      <c r="A32" s="1" t="s">
        <v>28</v>
      </c>
      <c r="B32" s="3">
        <f>3020/1000</f>
        <v>3.02</v>
      </c>
      <c r="D32" s="3">
        <v>100</v>
      </c>
      <c r="F32" s="8">
        <f t="shared" si="2"/>
        <v>3.02</v>
      </c>
      <c r="G32" s="1" t="s">
        <v>134</v>
      </c>
    </row>
    <row r="33" spans="1:7" x14ac:dyDescent="0.2">
      <c r="A33" s="2" t="s">
        <v>29</v>
      </c>
      <c r="B33" s="4">
        <v>21.1</v>
      </c>
      <c r="C33" s="4" t="s">
        <v>76</v>
      </c>
      <c r="D33" s="4">
        <v>85.8</v>
      </c>
      <c r="E33" s="4"/>
      <c r="F33" s="8">
        <f t="shared" si="2"/>
        <v>18.1038</v>
      </c>
      <c r="G33" t="s">
        <v>106</v>
      </c>
    </row>
    <row r="34" spans="1:7" x14ac:dyDescent="0.2">
      <c r="A34" s="2" t="s">
        <v>30</v>
      </c>
      <c r="B34" s="4">
        <v>87</v>
      </c>
      <c r="C34" s="4" t="s">
        <v>97</v>
      </c>
      <c r="D34" s="4">
        <v>26.2</v>
      </c>
      <c r="E34" s="4"/>
      <c r="F34" s="8">
        <f t="shared" si="2"/>
        <v>22.794</v>
      </c>
      <c r="G34" t="s">
        <v>106</v>
      </c>
    </row>
    <row r="35" spans="1:7" x14ac:dyDescent="0.2">
      <c r="A35" s="1" t="s">
        <v>31</v>
      </c>
      <c r="B35" s="3">
        <f>4177.899/1000</f>
        <v>4.177899</v>
      </c>
      <c r="C35" s="3">
        <v>81.3</v>
      </c>
      <c r="D35" s="3">
        <f>100-C35</f>
        <v>18.700000000000003</v>
      </c>
      <c r="F35" s="8">
        <f t="shared" si="2"/>
        <v>0.78126711300000007</v>
      </c>
      <c r="G35" s="1" t="s">
        <v>134</v>
      </c>
    </row>
    <row r="36" spans="1:7" x14ac:dyDescent="0.2">
      <c r="A36" s="1" t="s">
        <v>32</v>
      </c>
      <c r="B36" s="7">
        <f>1585/1000</f>
        <v>1.585</v>
      </c>
      <c r="C36" s="7"/>
      <c r="D36" s="7">
        <v>100</v>
      </c>
      <c r="E36" s="7"/>
      <c r="F36" s="8">
        <f t="shared" si="2"/>
        <v>1.585</v>
      </c>
      <c r="G36" s="1" t="s">
        <v>134</v>
      </c>
    </row>
    <row r="37" spans="1:7" x14ac:dyDescent="0.2">
      <c r="A37" s="1" t="s">
        <v>33</v>
      </c>
      <c r="B37" s="3">
        <f>1014/1000</f>
        <v>1.014</v>
      </c>
      <c r="D37" s="3">
        <v>100</v>
      </c>
      <c r="F37" s="8">
        <f t="shared" si="2"/>
        <v>1.014</v>
      </c>
      <c r="G37" s="1" t="s">
        <v>134</v>
      </c>
    </row>
    <row r="38" spans="1:7" x14ac:dyDescent="0.2">
      <c r="A38" s="1" t="s">
        <v>34</v>
      </c>
      <c r="B38" s="3">
        <f>871.924/1000</f>
        <v>0.87192400000000003</v>
      </c>
      <c r="D38" s="3">
        <v>100</v>
      </c>
      <c r="F38" s="8">
        <f t="shared" si="2"/>
        <v>0.87192400000000003</v>
      </c>
      <c r="G38" s="1" t="s">
        <v>134</v>
      </c>
    </row>
    <row r="39" spans="1:7" x14ac:dyDescent="0.2">
      <c r="A39" s="2" t="s">
        <v>35</v>
      </c>
      <c r="B39" s="4">
        <v>1.9</v>
      </c>
      <c r="C39" s="4"/>
      <c r="D39" s="4">
        <v>100</v>
      </c>
      <c r="E39" s="4"/>
      <c r="F39" s="8">
        <f t="shared" si="2"/>
        <v>1.9</v>
      </c>
      <c r="G39" t="s">
        <v>106</v>
      </c>
    </row>
    <row r="40" spans="1:7" x14ac:dyDescent="0.2">
      <c r="A40" s="1" t="s">
        <v>36</v>
      </c>
      <c r="B40" s="3">
        <f>7600/1000</f>
        <v>7.6</v>
      </c>
      <c r="D40" s="3">
        <v>59</v>
      </c>
      <c r="F40" s="8">
        <f t="shared" si="2"/>
        <v>4.484</v>
      </c>
      <c r="G40" s="1" t="s">
        <v>134</v>
      </c>
    </row>
    <row r="41" spans="1:7" x14ac:dyDescent="0.2">
      <c r="A41" s="2" t="s">
        <v>37</v>
      </c>
      <c r="B41" s="4">
        <v>16.2</v>
      </c>
      <c r="C41" s="4" t="s">
        <v>89</v>
      </c>
      <c r="D41" s="4">
        <v>93.4</v>
      </c>
      <c r="E41" s="4"/>
      <c r="F41" s="8">
        <f t="shared" si="2"/>
        <v>15.130799999999999</v>
      </c>
      <c r="G41" t="s">
        <v>106</v>
      </c>
    </row>
    <row r="42" spans="1:7" x14ac:dyDescent="0.2">
      <c r="A42" s="1" t="s">
        <v>38</v>
      </c>
      <c r="B42" s="3">
        <f>400/1000</f>
        <v>0.4</v>
      </c>
      <c r="D42" s="3">
        <v>100</v>
      </c>
      <c r="F42" s="8">
        <f t="shared" si="2"/>
        <v>0.4</v>
      </c>
      <c r="G42" s="1" t="s">
        <v>134</v>
      </c>
    </row>
    <row r="43" spans="1:7" x14ac:dyDescent="0.2">
      <c r="A43" s="1" t="s">
        <v>39</v>
      </c>
      <c r="B43" s="3">
        <f>1415/1000</f>
        <v>1.415</v>
      </c>
      <c r="D43" s="3">
        <v>100</v>
      </c>
      <c r="F43" s="8">
        <f>B43*D43/100</f>
        <v>1.415</v>
      </c>
      <c r="G43" t="s">
        <v>106</v>
      </c>
    </row>
    <row r="44" spans="1:7" x14ac:dyDescent="0.2">
      <c r="A44" s="2" t="s">
        <v>40</v>
      </c>
      <c r="B44" s="4">
        <v>4.7</v>
      </c>
      <c r="C44" s="4" t="s">
        <v>69</v>
      </c>
      <c r="D44" s="4">
        <v>0</v>
      </c>
      <c r="E44" s="4"/>
      <c r="F44" s="8">
        <f t="shared" si="2"/>
        <v>0</v>
      </c>
      <c r="G44" t="s">
        <v>106</v>
      </c>
    </row>
    <row r="45" spans="1:7" x14ac:dyDescent="0.2">
      <c r="A45" s="2" t="s">
        <v>41</v>
      </c>
      <c r="B45" s="4">
        <v>0.6</v>
      </c>
      <c r="C45" s="4" t="s">
        <v>69</v>
      </c>
      <c r="D45" s="4">
        <v>0</v>
      </c>
      <c r="E45" s="4"/>
      <c r="F45" s="8">
        <f t="shared" si="2"/>
        <v>0</v>
      </c>
      <c r="G45" t="s">
        <v>106</v>
      </c>
    </row>
    <row r="46" spans="1:7" x14ac:dyDescent="0.2">
      <c r="A46" s="2" t="s">
        <v>135</v>
      </c>
      <c r="B46" s="4">
        <v>1.2</v>
      </c>
      <c r="C46" s="4">
        <v>0</v>
      </c>
      <c r="D46" s="4">
        <v>100</v>
      </c>
      <c r="E46" s="4"/>
      <c r="F46" s="8">
        <f t="shared" si="2"/>
        <v>1.2</v>
      </c>
      <c r="G46" s="1" t="s">
        <v>134</v>
      </c>
    </row>
    <row r="47" spans="1:7" x14ac:dyDescent="0.2">
      <c r="A47" s="1" t="s">
        <v>114</v>
      </c>
      <c r="B47" s="3">
        <v>0.35</v>
      </c>
      <c r="D47" s="3">
        <v>39</v>
      </c>
      <c r="F47" s="8">
        <f t="shared" si="2"/>
        <v>0.13649999999999998</v>
      </c>
      <c r="G47" s="1" t="s">
        <v>134</v>
      </c>
    </row>
    <row r="48" spans="1:7" x14ac:dyDescent="0.2">
      <c r="A48" s="1" t="s">
        <v>111</v>
      </c>
      <c r="B48" s="3">
        <f>305.009/1000</f>
        <v>0.30500900000000003</v>
      </c>
      <c r="D48" s="3">
        <v>100</v>
      </c>
      <c r="F48" s="8">
        <f t="shared" si="2"/>
        <v>0.30500900000000003</v>
      </c>
      <c r="G48" s="1" t="s">
        <v>134</v>
      </c>
    </row>
    <row r="49" spans="1:7" x14ac:dyDescent="0.2">
      <c r="A49" s="1" t="s">
        <v>42</v>
      </c>
      <c r="B49" s="3">
        <f>610.106/1000</f>
        <v>0.61010600000000004</v>
      </c>
      <c r="D49" s="3">
        <v>100</v>
      </c>
      <c r="F49" s="8">
        <f t="shared" si="2"/>
        <v>0.61010600000000004</v>
      </c>
      <c r="G49" s="1" t="s">
        <v>134</v>
      </c>
    </row>
    <row r="50" spans="1:7" x14ac:dyDescent="0.2">
      <c r="A50" s="1" t="s">
        <v>43</v>
      </c>
      <c r="B50" s="3">
        <f>1695.9871/1000</f>
        <v>1.6959871</v>
      </c>
      <c r="D50" s="3">
        <v>100</v>
      </c>
      <c r="F50" s="8">
        <f t="shared" si="2"/>
        <v>1.6959870999999997</v>
      </c>
      <c r="G50" s="1" t="s">
        <v>134</v>
      </c>
    </row>
    <row r="51" spans="1:7" x14ac:dyDescent="0.2">
      <c r="A51" s="1" t="s">
        <v>44</v>
      </c>
      <c r="B51" s="3">
        <f>4100/1000</f>
        <v>4.0999999999999996</v>
      </c>
      <c r="C51" s="3">
        <f>100-D51-E51</f>
        <v>50.3</v>
      </c>
      <c r="D51" s="3">
        <v>39</v>
      </c>
      <c r="E51" s="3">
        <v>10.7</v>
      </c>
      <c r="F51" s="8">
        <f t="shared" si="2"/>
        <v>1.5989999999999998</v>
      </c>
      <c r="G51" s="1" t="s">
        <v>134</v>
      </c>
    </row>
    <row r="52" spans="1:7" x14ac:dyDescent="0.2">
      <c r="A52" s="1" t="s">
        <v>45</v>
      </c>
      <c r="B52" s="3">
        <f>1590/1000</f>
        <v>1.59</v>
      </c>
      <c r="C52" s="3">
        <f>100-D52</f>
        <v>46.540880503144656</v>
      </c>
      <c r="D52" s="3">
        <f>100*0.85/B52</f>
        <v>53.459119496855344</v>
      </c>
      <c r="F52" s="8">
        <f t="shared" si="2"/>
        <v>0.85</v>
      </c>
      <c r="G52" s="1" t="s">
        <v>134</v>
      </c>
    </row>
    <row r="53" spans="1:7" x14ac:dyDescent="0.2">
      <c r="A53" s="1" t="s">
        <v>46</v>
      </c>
      <c r="B53" s="3">
        <f>1900/1000</f>
        <v>1.9</v>
      </c>
      <c r="D53" s="3">
        <v>100</v>
      </c>
      <c r="F53" s="8">
        <f t="shared" si="2"/>
        <v>1.9</v>
      </c>
      <c r="G53" s="1" t="s">
        <v>134</v>
      </c>
    </row>
    <row r="54" spans="1:7" x14ac:dyDescent="0.2">
      <c r="A54" s="2" t="s">
        <v>47</v>
      </c>
      <c r="B54" s="4">
        <v>6.4</v>
      </c>
      <c r="C54" s="4" t="s">
        <v>77</v>
      </c>
      <c r="D54" s="4">
        <v>51.2</v>
      </c>
      <c r="E54" s="4"/>
      <c r="F54" s="8">
        <f t="shared" si="2"/>
        <v>3.2768000000000006</v>
      </c>
      <c r="G54" t="s">
        <v>106</v>
      </c>
    </row>
    <row r="55" spans="1:7" x14ac:dyDescent="0.2">
      <c r="A55" s="2" t="s">
        <v>48</v>
      </c>
      <c r="B55" s="4">
        <v>2</v>
      </c>
      <c r="C55" s="4"/>
      <c r="D55" s="4">
        <v>100</v>
      </c>
      <c r="E55" s="4"/>
      <c r="F55" s="8">
        <f t="shared" si="2"/>
        <v>2</v>
      </c>
      <c r="G55" t="s">
        <v>106</v>
      </c>
    </row>
    <row r="56" spans="1:7" x14ac:dyDescent="0.2">
      <c r="A56" s="1" t="s">
        <v>49</v>
      </c>
      <c r="B56" s="7">
        <f>1176.548/1000</f>
        <v>1.1765479999999999</v>
      </c>
      <c r="C56" s="7"/>
      <c r="D56" s="7">
        <v>100</v>
      </c>
      <c r="E56" s="7"/>
      <c r="F56" s="8">
        <f t="shared" si="2"/>
        <v>1.1765479999999999</v>
      </c>
      <c r="G56" s="1" t="s">
        <v>134</v>
      </c>
    </row>
    <row r="57" spans="1:7" x14ac:dyDescent="0.2">
      <c r="A57" s="2" t="s">
        <v>50</v>
      </c>
      <c r="B57" s="4">
        <v>1.6</v>
      </c>
      <c r="C57" s="4" t="s">
        <v>78</v>
      </c>
      <c r="D57" s="4">
        <v>46.8</v>
      </c>
      <c r="E57" s="4"/>
      <c r="F57" s="8">
        <f t="shared" si="2"/>
        <v>0.74879999999999991</v>
      </c>
      <c r="G57" t="s">
        <v>106</v>
      </c>
    </row>
    <row r="58" spans="1:7" x14ac:dyDescent="0.2">
      <c r="A58" s="2" t="s">
        <v>51</v>
      </c>
      <c r="B58" s="4">
        <v>76</v>
      </c>
      <c r="C58" s="4" t="s">
        <v>84</v>
      </c>
      <c r="D58" s="4">
        <v>32</v>
      </c>
      <c r="E58" s="4" t="s">
        <v>85</v>
      </c>
      <c r="F58" s="8">
        <f t="shared" si="2"/>
        <v>24.32</v>
      </c>
      <c r="G58" t="s">
        <v>106</v>
      </c>
    </row>
    <row r="59" spans="1:7" x14ac:dyDescent="0.2">
      <c r="A59" s="2" t="s">
        <v>52</v>
      </c>
      <c r="B59" s="4">
        <v>9.9</v>
      </c>
      <c r="C59" s="4"/>
      <c r="D59" s="4">
        <v>100</v>
      </c>
      <c r="E59" s="4"/>
      <c r="F59" s="8">
        <f t="shared" si="2"/>
        <v>9.9</v>
      </c>
      <c r="G59" t="s">
        <v>106</v>
      </c>
    </row>
    <row r="60" spans="1:7" x14ac:dyDescent="0.2">
      <c r="A60" s="1" t="s">
        <v>53</v>
      </c>
      <c r="B60" s="3">
        <f>1393/10002</f>
        <v>0.13927214557088582</v>
      </c>
      <c r="C60" s="3">
        <f>100-D60</f>
        <v>81.5</v>
      </c>
      <c r="D60" s="3">
        <v>18.5</v>
      </c>
      <c r="F60" s="8">
        <f t="shared" si="2"/>
        <v>2.5765346930613879E-2</v>
      </c>
      <c r="G60" s="1" t="s">
        <v>134</v>
      </c>
    </row>
    <row r="61" spans="1:7" x14ac:dyDescent="0.2">
      <c r="A61" s="1" t="s">
        <v>54</v>
      </c>
      <c r="B61" s="3">
        <f>300/1000</f>
        <v>0.3</v>
      </c>
      <c r="D61" s="3">
        <v>100</v>
      </c>
      <c r="F61" s="8">
        <f t="shared" si="2"/>
        <v>0.3</v>
      </c>
      <c r="G61" s="1" t="s">
        <v>134</v>
      </c>
    </row>
    <row r="62" spans="1:7" x14ac:dyDescent="0.2">
      <c r="A62" s="2" t="s">
        <v>55</v>
      </c>
      <c r="B62" s="4">
        <v>4.4000000000000004</v>
      </c>
      <c r="C62" s="4" t="s">
        <v>79</v>
      </c>
      <c r="D62" s="4">
        <v>10</v>
      </c>
      <c r="E62" s="4"/>
      <c r="F62" s="8">
        <f t="shared" ref="F62:F78" si="3">B62*D62/100</f>
        <v>0.44</v>
      </c>
      <c r="G62" t="s">
        <v>106</v>
      </c>
    </row>
    <row r="63" spans="1:7" x14ac:dyDescent="0.2">
      <c r="A63" s="2" t="s">
        <v>56</v>
      </c>
      <c r="B63" s="4">
        <v>0.5</v>
      </c>
      <c r="C63" s="4"/>
      <c r="D63" s="4">
        <v>100</v>
      </c>
      <c r="E63" s="4"/>
      <c r="F63" s="8">
        <f t="shared" si="3"/>
        <v>0.5</v>
      </c>
      <c r="G63" t="s">
        <v>106</v>
      </c>
    </row>
    <row r="64" spans="1:7" x14ac:dyDescent="0.2">
      <c r="A64" s="2" t="s">
        <v>57</v>
      </c>
      <c r="B64" s="4">
        <v>4.9000000000000004</v>
      </c>
      <c r="C64" s="4" t="s">
        <v>94</v>
      </c>
      <c r="D64" s="4">
        <v>43.2</v>
      </c>
      <c r="E64" s="4"/>
      <c r="F64" s="8">
        <f t="shared" si="3"/>
        <v>2.1168000000000005</v>
      </c>
      <c r="G64" t="s">
        <v>106</v>
      </c>
    </row>
    <row r="65" spans="1:7" x14ac:dyDescent="0.2">
      <c r="A65" s="2" t="s">
        <v>58</v>
      </c>
      <c r="B65" s="4">
        <v>66.7</v>
      </c>
      <c r="C65" s="4" t="s">
        <v>98</v>
      </c>
      <c r="D65" s="4">
        <v>29.5</v>
      </c>
      <c r="E65" s="4"/>
      <c r="F65" s="8">
        <f t="shared" si="3"/>
        <v>19.676500000000001</v>
      </c>
      <c r="G65" t="s">
        <v>106</v>
      </c>
    </row>
    <row r="66" spans="1:7" x14ac:dyDescent="0.2">
      <c r="A66" s="2" t="s">
        <v>59</v>
      </c>
      <c r="B66" s="4">
        <v>11.4</v>
      </c>
      <c r="C66" s="4" t="s">
        <v>80</v>
      </c>
      <c r="D66" s="4">
        <v>71.900000000000006</v>
      </c>
      <c r="E66" s="4"/>
      <c r="F66" s="8">
        <f t="shared" si="3"/>
        <v>8.1966000000000001</v>
      </c>
      <c r="G66" t="s">
        <v>106</v>
      </c>
    </row>
    <row r="67" spans="1:7" x14ac:dyDescent="0.2">
      <c r="A67" s="2" t="s">
        <v>60</v>
      </c>
      <c r="B67" s="4">
        <v>4.3</v>
      </c>
      <c r="C67" s="4" t="s">
        <v>81</v>
      </c>
      <c r="D67" s="4">
        <v>31.4</v>
      </c>
      <c r="E67" s="4"/>
      <c r="F67" s="8">
        <f t="shared" si="3"/>
        <v>1.3501999999999998</v>
      </c>
      <c r="G67" t="s">
        <v>106</v>
      </c>
    </row>
    <row r="68" spans="1:7" x14ac:dyDescent="0.2">
      <c r="A68" s="1" t="s">
        <v>61</v>
      </c>
      <c r="B68" s="3">
        <f>1200/1000</f>
        <v>1.2</v>
      </c>
      <c r="C68" s="3">
        <v>0</v>
      </c>
      <c r="D68" s="3">
        <v>100</v>
      </c>
      <c r="F68" s="8">
        <f t="shared" si="3"/>
        <v>1.2</v>
      </c>
      <c r="G68" t="s">
        <v>106</v>
      </c>
    </row>
    <row r="69" spans="1:7" x14ac:dyDescent="0.2">
      <c r="A69" s="2" t="s">
        <v>110</v>
      </c>
      <c r="B69" s="4">
        <v>19.100000000000001</v>
      </c>
      <c r="C69" s="4" t="s">
        <v>73</v>
      </c>
      <c r="D69" s="4">
        <v>40.799999999999997</v>
      </c>
      <c r="E69" s="4"/>
      <c r="F69" s="8">
        <f t="shared" si="3"/>
        <v>7.7927999999999997</v>
      </c>
      <c r="G69" t="s">
        <v>106</v>
      </c>
    </row>
    <row r="70" spans="1:7" x14ac:dyDescent="0.2">
      <c r="A70" s="1" t="s">
        <v>62</v>
      </c>
      <c r="B70" s="3">
        <f>4925/1000</f>
        <v>4.9249999999999998</v>
      </c>
      <c r="D70" s="3">
        <f>100-E70</f>
        <v>91.9</v>
      </c>
      <c r="E70" s="3">
        <v>8.1</v>
      </c>
      <c r="F70" s="8">
        <f t="shared" si="3"/>
        <v>4.5260750000000005</v>
      </c>
      <c r="G70" s="1" t="s">
        <v>134</v>
      </c>
    </row>
    <row r="71" spans="1:7" x14ac:dyDescent="0.2">
      <c r="A71" s="1" t="s">
        <v>113</v>
      </c>
      <c r="B71" s="3">
        <f>36893.392/1000</f>
        <v>36.893391999999999</v>
      </c>
      <c r="D71" s="3">
        <v>68</v>
      </c>
      <c r="F71" s="8">
        <f t="shared" si="3"/>
        <v>25.087506559999998</v>
      </c>
      <c r="G71" s="1" t="s">
        <v>136</v>
      </c>
    </row>
    <row r="72" spans="1:7" x14ac:dyDescent="0.2">
      <c r="A72" s="1" t="s">
        <v>115</v>
      </c>
      <c r="B72" s="3">
        <v>0.58499999999999996</v>
      </c>
      <c r="D72" s="3">
        <v>36</v>
      </c>
      <c r="F72" s="8">
        <f t="shared" si="3"/>
        <v>0.21059999999999998</v>
      </c>
      <c r="G72" s="1" t="s">
        <v>136</v>
      </c>
    </row>
    <row r="73" spans="1:7" x14ac:dyDescent="0.2">
      <c r="A73" s="2" t="s">
        <v>63</v>
      </c>
      <c r="B73" s="4">
        <v>6.2</v>
      </c>
      <c r="C73" s="4" t="s">
        <v>86</v>
      </c>
      <c r="D73" s="4">
        <v>12.3</v>
      </c>
      <c r="E73" s="4" t="s">
        <v>87</v>
      </c>
      <c r="F73" s="8">
        <f t="shared" si="3"/>
        <v>0.76260000000000006</v>
      </c>
      <c r="G73" s="1" t="s">
        <v>136</v>
      </c>
    </row>
    <row r="74" spans="1:7" x14ac:dyDescent="0.2">
      <c r="A74" s="1" t="s">
        <v>64</v>
      </c>
      <c r="B74" s="3">
        <f>3720.908/1000</f>
        <v>3.7209080000000001</v>
      </c>
      <c r="D74" s="3">
        <v>90</v>
      </c>
      <c r="E74" s="3">
        <v>10</v>
      </c>
      <c r="F74" s="8">
        <f t="shared" si="3"/>
        <v>3.3488172000000005</v>
      </c>
      <c r="G74" s="1" t="s">
        <v>134</v>
      </c>
    </row>
    <row r="75" spans="1:7" x14ac:dyDescent="0.2">
      <c r="A75" s="2" t="s">
        <v>65</v>
      </c>
      <c r="B75" s="4">
        <v>5.6</v>
      </c>
      <c r="C75" s="4" t="s">
        <v>82</v>
      </c>
      <c r="D75" s="4">
        <v>20.399999999999999</v>
      </c>
      <c r="E75" s="4"/>
      <c r="F75" s="8">
        <f t="shared" si="3"/>
        <v>1.1423999999999999</v>
      </c>
      <c r="G75" s="1" t="s">
        <v>136</v>
      </c>
    </row>
    <row r="76" spans="1:7" x14ac:dyDescent="0.2">
      <c r="A76" s="1" t="s">
        <v>108</v>
      </c>
      <c r="B76" s="3">
        <f>79451.522/1000</f>
        <v>79.451521999999997</v>
      </c>
      <c r="D76" s="3">
        <v>70</v>
      </c>
      <c r="F76" s="8">
        <f t="shared" si="3"/>
        <v>55.616065399999997</v>
      </c>
      <c r="G76" s="1" t="s">
        <v>136</v>
      </c>
    </row>
    <row r="77" spans="1:7" x14ac:dyDescent="0.2">
      <c r="A77" s="1" t="s">
        <v>66</v>
      </c>
      <c r="B77" s="3">
        <v>1</v>
      </c>
      <c r="D77" s="3">
        <v>100</v>
      </c>
      <c r="F77" s="8">
        <f t="shared" si="3"/>
        <v>1</v>
      </c>
      <c r="G77" s="1" t="s">
        <v>134</v>
      </c>
    </row>
    <row r="78" spans="1:7" x14ac:dyDescent="0.2">
      <c r="A78" s="2" t="s">
        <v>67</v>
      </c>
      <c r="B78" s="4">
        <v>0.2</v>
      </c>
      <c r="C78" s="4"/>
      <c r="D78" s="4">
        <v>100</v>
      </c>
      <c r="E78" s="4"/>
      <c r="F78" s="8">
        <f t="shared" si="3"/>
        <v>0.2</v>
      </c>
      <c r="G78" s="1" t="s">
        <v>140</v>
      </c>
    </row>
    <row r="79" spans="1:7" x14ac:dyDescent="0.2">
      <c r="A79" s="1" t="s">
        <v>112</v>
      </c>
      <c r="B79" s="3">
        <f>22070/1000</f>
        <v>22.07</v>
      </c>
      <c r="C79" s="3">
        <v>65</v>
      </c>
      <c r="D79" s="3">
        <v>35</v>
      </c>
      <c r="F79" s="8">
        <f>B79*D79/100</f>
        <v>7.7245000000000008</v>
      </c>
      <c r="G79" s="1" t="s">
        <v>141</v>
      </c>
    </row>
    <row r="80" spans="1:7" x14ac:dyDescent="0.2">
      <c r="A80" s="1" t="s">
        <v>123</v>
      </c>
      <c r="B80" s="3">
        <v>136.30000000000001</v>
      </c>
      <c r="C80" s="3">
        <v>56.3</v>
      </c>
      <c r="D80" s="3">
        <v>43.7</v>
      </c>
      <c r="F80" s="8">
        <f>B80*D80/100</f>
        <v>59.563100000000013</v>
      </c>
    </row>
    <row r="81" spans="1:6" x14ac:dyDescent="0.2">
      <c r="A81" s="1" t="s">
        <v>124</v>
      </c>
      <c r="B81" s="3">
        <v>45.8</v>
      </c>
      <c r="C81" s="3">
        <v>37.1</v>
      </c>
      <c r="D81" s="3">
        <v>62.9</v>
      </c>
      <c r="F81" s="8">
        <f t="shared" ref="F81:F85" si="4">B81*D81/100</f>
        <v>28.808199999999996</v>
      </c>
    </row>
    <row r="82" spans="1:6" x14ac:dyDescent="0.2">
      <c r="A82" s="1" t="s">
        <v>125</v>
      </c>
      <c r="B82" s="3">
        <v>85.8</v>
      </c>
      <c r="C82" s="3">
        <v>63.7</v>
      </c>
      <c r="D82" s="3">
        <v>33</v>
      </c>
      <c r="E82" s="3">
        <v>3.3</v>
      </c>
      <c r="F82" s="8">
        <f t="shared" si="4"/>
        <v>28.314</v>
      </c>
    </row>
    <row r="83" spans="1:6" x14ac:dyDescent="0.2">
      <c r="A83" s="1" t="s">
        <v>127</v>
      </c>
      <c r="B83" s="3">
        <f>B82+B81+B80</f>
        <v>267.89999999999998</v>
      </c>
      <c r="C83" s="3">
        <f>((C80*B80)+(C81*B81)+(C82*B82))/B83</f>
        <v>55.3875699888018</v>
      </c>
      <c r="D83" s="3">
        <f>((D80*B80)+(D81*B81)+(D82*B82))/B83</f>
        <v>43.555543113101912</v>
      </c>
      <c r="F83" s="8">
        <f t="shared" si="4"/>
        <v>116.68530000000001</v>
      </c>
    </row>
    <row r="84" spans="1:6" x14ac:dyDescent="0.2">
      <c r="A84" s="1" t="s">
        <v>126</v>
      </c>
      <c r="B84" s="3">
        <v>111.3</v>
      </c>
      <c r="C84" s="3">
        <v>30.7</v>
      </c>
      <c r="D84" s="3">
        <v>69.3</v>
      </c>
      <c r="F84" s="8">
        <f t="shared" si="4"/>
        <v>77.130899999999997</v>
      </c>
    </row>
    <row r="85" spans="1:6" x14ac:dyDescent="0.2">
      <c r="A85" s="1" t="s">
        <v>128</v>
      </c>
      <c r="B85" s="3">
        <v>43.4</v>
      </c>
      <c r="C85" s="3">
        <v>66.400000000000006</v>
      </c>
      <c r="D85" s="3">
        <v>32.700000000000003</v>
      </c>
      <c r="F85" s="8">
        <f t="shared" si="4"/>
        <v>14.191800000000001</v>
      </c>
    </row>
    <row r="86" spans="1:6" x14ac:dyDescent="0.2">
      <c r="A86" s="1" t="s">
        <v>129</v>
      </c>
      <c r="B86" s="3">
        <v>21.1</v>
      </c>
      <c r="C86" s="3">
        <v>13.3</v>
      </c>
      <c r="D86" s="3">
        <v>86.7</v>
      </c>
      <c r="F86" s="8">
        <f>B86*D86/100</f>
        <v>18.293700000000001</v>
      </c>
    </row>
    <row r="87" spans="1:6" x14ac:dyDescent="0.2">
      <c r="A87" s="1" t="s">
        <v>130</v>
      </c>
      <c r="B87" s="3">
        <v>50.4</v>
      </c>
      <c r="C87" s="3">
        <v>5</v>
      </c>
      <c r="D87" s="3">
        <v>95</v>
      </c>
      <c r="F87" s="8">
        <f>B87*D87/100</f>
        <v>47.88</v>
      </c>
    </row>
    <row r="88" spans="1:6" x14ac:dyDescent="0.2">
      <c r="A88" s="1" t="s">
        <v>131</v>
      </c>
      <c r="B88" s="3">
        <v>1383.8</v>
      </c>
      <c r="C88" s="3">
        <v>81.3</v>
      </c>
      <c r="D88" s="3">
        <v>18.399999999999999</v>
      </c>
      <c r="E88" s="3">
        <v>0.3</v>
      </c>
      <c r="F88" s="8">
        <f>B88*D88/100</f>
        <v>254.61919999999998</v>
      </c>
    </row>
    <row r="89" spans="1:6" x14ac:dyDescent="0.2">
      <c r="A89" s="1" t="s">
        <v>132</v>
      </c>
      <c r="B89" s="3">
        <f>B88+B87</f>
        <v>1434.2</v>
      </c>
      <c r="C89" s="3">
        <f>(C87*B87+C88*B88)/B89</f>
        <v>78.618700320736295</v>
      </c>
      <c r="D89" s="3">
        <f>(D87*B87+D88*B88)/B89</f>
        <v>21.091842141960672</v>
      </c>
      <c r="F89" s="8">
        <f>B89*D89/100</f>
        <v>302.49919999999997</v>
      </c>
    </row>
    <row r="90" spans="1:6" x14ac:dyDescent="0.2">
      <c r="A90" s="1" t="s">
        <v>133</v>
      </c>
      <c r="B90" s="3">
        <f>B6+B45</f>
        <v>6.1</v>
      </c>
      <c r="C90" s="3">
        <f>(B6*73.2+B45*100)/B90</f>
        <v>75.836065573770497</v>
      </c>
      <c r="D90" s="3">
        <f>(B6*D6+B45*D45)/B90</f>
        <v>24.16393442622951</v>
      </c>
      <c r="F90" s="8">
        <f>B90*D90/100</f>
        <v>1.474</v>
      </c>
    </row>
  </sheetData>
  <autoFilter ref="A1:F79" xr:uid="{9B989341-0EA6-4346-9F01-D715DA963C3F}">
    <sortState xmlns:xlrd2="http://schemas.microsoft.com/office/spreadsheetml/2017/richdata2" ref="A2:F79">
      <sortCondition ref="A1:A79"/>
    </sortState>
  </autoFilter>
  <phoneticPr fontId="6" type="noConversion"/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3B9B5-83F5-F54F-AD68-608C21052201}">
  <dimension ref="A1:B5"/>
  <sheetViews>
    <sheetView workbookViewId="0">
      <selection activeCell="B2" sqref="B2"/>
    </sheetView>
  </sheetViews>
  <sheetFormatPr baseColWidth="10" defaultRowHeight="15" x14ac:dyDescent="0.2"/>
  <sheetData>
    <row r="1" spans="1:2" x14ac:dyDescent="0.2">
      <c r="A1" s="5" t="s">
        <v>104</v>
      </c>
      <c r="B1" s="5" t="s">
        <v>105</v>
      </c>
    </row>
    <row r="2" spans="1:2" x14ac:dyDescent="0.2">
      <c r="A2" s="5" t="s">
        <v>118</v>
      </c>
      <c r="B2" t="s">
        <v>106</v>
      </c>
    </row>
    <row r="3" spans="1:2" x14ac:dyDescent="0.2">
      <c r="A3" s="5" t="s">
        <v>117</v>
      </c>
      <c r="B3" t="s">
        <v>116</v>
      </c>
    </row>
    <row r="4" spans="1:2" x14ac:dyDescent="0.2">
      <c r="A4" s="5" t="s">
        <v>107</v>
      </c>
      <c r="B4" s="6">
        <v>45691</v>
      </c>
    </row>
    <row r="5" spans="1:2" x14ac:dyDescent="0.2">
      <c r="B5" t="s">
        <v>120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EAF_prod_countries</vt:lpstr>
      <vt:lpstr>metadata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Schlesier, Hauke</cp:lastModifiedBy>
  <dcterms:created xsi:type="dcterms:W3CDTF">2025-02-03T14:36:03Z</dcterms:created>
  <dcterms:modified xsi:type="dcterms:W3CDTF">2025-02-12T09:30:37Z</dcterms:modified>
  <cp:category/>
</cp:coreProperties>
</file>