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ok\Dropbox\Frog_Fukushima\Manuscript Submission Prep file\"/>
    </mc:Choice>
  </mc:AlternateContent>
  <xr:revisionPtr revIDLastSave="0" documentId="13_ncr:1_{694D314D-7849-4F52-B550-32600CB4E2E2}" xr6:coauthVersionLast="47" xr6:coauthVersionMax="47" xr10:uidLastSave="{00000000-0000-0000-0000-000000000000}"/>
  <bookViews>
    <workbookView xWindow="-110" yWindow="-110" windowWidth="19420" windowHeight="10300" tabRatio="869" activeTab="1" xr2:uid="{6DDBB1A9-A6B8-43B8-97F1-6824C7C0FB46}"/>
  </bookViews>
  <sheets>
    <sheet name="River_ERICA" sheetId="15" r:id="rId1"/>
    <sheet name="Lake_ERICA" sheetId="16" r:id="rId2"/>
    <sheet name="Supporting Fig. 1" sheetId="1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8" i="15" l="1"/>
  <c r="AB9" i="15"/>
  <c r="AB10" i="15"/>
  <c r="AB11" i="15"/>
  <c r="AB12" i="15"/>
  <c r="AB13" i="15"/>
  <c r="AB14" i="15"/>
  <c r="AB15" i="15"/>
  <c r="AB16" i="15"/>
  <c r="AB17" i="15"/>
  <c r="AB18" i="15"/>
  <c r="AB19" i="15"/>
  <c r="AB20" i="15"/>
  <c r="AB21" i="15"/>
  <c r="AB22" i="15"/>
  <c r="AB23" i="15"/>
  <c r="AB24" i="15"/>
  <c r="AB25" i="15"/>
  <c r="AB26" i="15"/>
  <c r="AB27" i="15"/>
  <c r="AB28" i="15"/>
  <c r="AB29" i="15"/>
  <c r="AB30" i="15"/>
  <c r="AB31" i="15"/>
  <c r="AB32" i="15"/>
  <c r="AB33" i="15"/>
  <c r="AB34" i="15"/>
  <c r="AB35" i="15"/>
  <c r="AB36" i="15"/>
  <c r="AB37" i="15"/>
  <c r="AB38" i="15"/>
  <c r="AB39" i="15"/>
  <c r="AB40" i="15"/>
  <c r="AB41" i="15"/>
  <c r="AB42" i="15"/>
  <c r="AB43" i="15"/>
  <c r="AB44" i="15"/>
  <c r="AB45" i="15"/>
  <c r="AB46" i="15"/>
  <c r="AB47" i="15"/>
  <c r="AB48" i="15"/>
  <c r="AB49" i="15"/>
  <c r="AB50" i="15"/>
  <c r="AB51" i="15"/>
  <c r="AB52" i="15"/>
  <c r="AB53" i="15"/>
  <c r="AB54" i="15"/>
  <c r="AB55" i="15"/>
  <c r="AB56" i="15"/>
  <c r="AB57" i="15"/>
  <c r="AB58" i="15"/>
  <c r="AB59" i="15"/>
  <c r="AB60" i="15"/>
  <c r="AB61" i="15"/>
  <c r="AB62" i="15"/>
  <c r="AB63" i="15"/>
  <c r="AB64" i="15"/>
  <c r="AB65" i="15"/>
  <c r="AB66" i="15"/>
  <c r="AB67" i="15"/>
  <c r="AB68" i="15"/>
  <c r="AB69" i="15"/>
  <c r="AB70" i="15"/>
  <c r="AB71" i="15"/>
  <c r="AB72" i="15"/>
  <c r="AB73" i="15"/>
  <c r="AB74" i="15"/>
  <c r="AB75" i="15"/>
  <c r="AB76" i="15"/>
  <c r="AB77" i="15"/>
  <c r="AB78" i="15"/>
  <c r="AB79" i="15"/>
  <c r="AB80" i="15"/>
  <c r="AB81" i="15"/>
  <c r="AB82" i="15"/>
  <c r="AB83" i="15"/>
  <c r="AB84" i="15"/>
  <c r="AB85" i="15"/>
  <c r="AB86" i="15"/>
  <c r="AB7" i="15"/>
  <c r="AB7" i="16"/>
  <c r="AB8" i="16"/>
  <c r="AB9" i="16"/>
  <c r="AB10" i="16"/>
  <c r="AB11" i="16"/>
  <c r="AB12" i="16"/>
  <c r="AB13" i="16"/>
  <c r="AB14" i="16"/>
  <c r="AB15" i="16"/>
  <c r="AB16" i="16"/>
  <c r="AB17" i="16"/>
  <c r="AB18" i="16"/>
  <c r="AB19" i="16"/>
  <c r="AB20" i="16"/>
  <c r="AB21" i="16"/>
  <c r="AB22" i="16"/>
  <c r="AB23" i="16"/>
  <c r="AB24" i="16"/>
  <c r="AB25" i="16"/>
  <c r="AB26" i="16"/>
  <c r="AB27" i="16"/>
  <c r="AB28" i="16"/>
  <c r="AB29" i="16"/>
  <c r="AB30" i="16"/>
  <c r="AB31" i="16"/>
  <c r="AB32" i="16"/>
  <c r="AB33" i="16"/>
  <c r="AB34" i="16"/>
  <c r="AB35" i="16"/>
  <c r="AB36" i="16"/>
  <c r="AB37" i="16"/>
  <c r="AB38" i="16"/>
  <c r="AB39" i="16"/>
  <c r="AB40" i="16"/>
  <c r="AB41" i="16"/>
  <c r="AB42" i="16"/>
  <c r="X28" i="16" l="1"/>
  <c r="X24" i="16"/>
  <c r="X23" i="16"/>
  <c r="X19" i="16"/>
  <c r="X17" i="16"/>
  <c r="X16" i="16"/>
  <c r="X15" i="16"/>
  <c r="X14" i="16"/>
  <c r="X13" i="16"/>
  <c r="X10" i="16"/>
  <c r="X8" i="16"/>
  <c r="X86" i="15"/>
  <c r="X85" i="15"/>
  <c r="X84" i="15"/>
  <c r="X83" i="15"/>
  <c r="X80" i="15"/>
  <c r="X76" i="15"/>
  <c r="X68" i="15"/>
  <c r="X65" i="15"/>
  <c r="X64" i="15"/>
  <c r="X63" i="15"/>
  <c r="X62" i="15"/>
  <c r="X61" i="15"/>
  <c r="X60" i="15"/>
  <c r="X59" i="15"/>
  <c r="X58" i="15"/>
  <c r="X50" i="15"/>
  <c r="X44" i="15"/>
  <c r="AC42" i="16" l="1"/>
  <c r="Y42" i="16"/>
  <c r="AC41" i="16"/>
  <c r="Y41" i="16"/>
  <c r="AC40" i="16"/>
  <c r="Y40" i="16"/>
  <c r="AC39" i="16"/>
  <c r="Y39" i="16"/>
  <c r="AC38" i="16"/>
  <c r="Y38" i="16"/>
  <c r="AC37" i="16"/>
  <c r="Y37" i="16"/>
  <c r="AC36" i="16"/>
  <c r="Y36" i="16"/>
  <c r="AC35" i="16"/>
  <c r="Y35" i="16"/>
  <c r="AC34" i="16"/>
  <c r="Y34" i="16"/>
  <c r="AC33" i="16"/>
  <c r="Y33" i="16"/>
  <c r="AC32" i="16"/>
  <c r="Y32" i="16"/>
  <c r="AC31" i="16"/>
  <c r="Y31" i="16"/>
  <c r="AC30" i="16"/>
  <c r="Y30" i="16"/>
  <c r="AC29" i="16"/>
  <c r="Y29" i="16"/>
  <c r="AC28" i="16"/>
  <c r="Y28" i="16"/>
  <c r="AC27" i="16"/>
  <c r="Y27" i="16"/>
  <c r="AC26" i="16"/>
  <c r="Y26" i="16"/>
  <c r="AC25" i="16"/>
  <c r="Y25" i="16"/>
  <c r="AC24" i="16"/>
  <c r="Y24" i="16"/>
  <c r="AC23" i="16"/>
  <c r="Y23" i="16"/>
  <c r="AC22" i="16"/>
  <c r="Y22" i="16"/>
  <c r="AC21" i="16"/>
  <c r="Y21" i="16"/>
  <c r="AC20" i="16"/>
  <c r="Y20" i="16"/>
  <c r="AC19" i="16"/>
  <c r="Y19" i="16"/>
  <c r="AC18" i="16"/>
  <c r="Y18" i="16"/>
  <c r="AC17" i="16"/>
  <c r="Y17" i="16"/>
  <c r="AC16" i="16"/>
  <c r="Y16" i="16"/>
  <c r="AC15" i="16"/>
  <c r="Y15" i="16"/>
  <c r="AC14" i="16"/>
  <c r="Y14" i="16"/>
  <c r="AC13" i="16"/>
  <c r="Y13" i="16"/>
  <c r="AC12" i="16"/>
  <c r="Y12" i="16"/>
  <c r="AC11" i="16"/>
  <c r="Y11" i="16"/>
  <c r="AC10" i="16"/>
  <c r="Y10" i="16"/>
  <c r="AC9" i="16"/>
  <c r="Y9" i="16"/>
  <c r="AC8" i="16"/>
  <c r="Y8" i="16"/>
  <c r="AC7" i="16"/>
  <c r="Y7" i="16"/>
  <c r="AF86" i="15"/>
  <c r="Y86" i="15"/>
  <c r="AF85" i="15"/>
  <c r="Y85" i="15"/>
  <c r="AF84" i="15"/>
  <c r="Y84" i="15"/>
  <c r="AF83" i="15"/>
  <c r="Y83" i="15"/>
  <c r="AF82" i="15"/>
  <c r="Y82" i="15"/>
  <c r="AF81" i="15"/>
  <c r="Y81" i="15"/>
  <c r="AF80" i="15"/>
  <c r="Y80" i="15"/>
  <c r="AF79" i="15"/>
  <c r="Y79" i="15"/>
  <c r="AF78" i="15"/>
  <c r="Y78" i="15"/>
  <c r="AF77" i="15"/>
  <c r="Y77" i="15"/>
  <c r="AF76" i="15"/>
  <c r="Y76" i="15"/>
  <c r="AF75" i="15"/>
  <c r="Y75" i="15"/>
  <c r="AF74" i="15"/>
  <c r="Y74" i="15"/>
  <c r="AF73" i="15"/>
  <c r="Y73" i="15"/>
  <c r="AF72" i="15"/>
  <c r="Y72" i="15"/>
  <c r="AF71" i="15"/>
  <c r="Y71" i="15"/>
  <c r="AF70" i="15"/>
  <c r="Y70" i="15"/>
  <c r="AF69" i="15"/>
  <c r="Y69" i="15"/>
  <c r="AF68" i="15"/>
  <c r="Y68" i="15"/>
  <c r="AF67" i="15"/>
  <c r="Y67" i="15"/>
  <c r="Y66" i="15"/>
  <c r="Y65" i="15"/>
  <c r="AF64" i="15"/>
  <c r="Y64" i="15"/>
  <c r="AF63" i="15"/>
  <c r="Y63" i="15"/>
  <c r="AF62" i="15"/>
  <c r="Y62" i="15"/>
  <c r="AF61" i="15"/>
  <c r="Y61" i="15"/>
  <c r="AF60" i="15"/>
  <c r="Y60" i="15"/>
  <c r="AF59" i="15"/>
  <c r="Y59" i="15"/>
  <c r="AF58" i="15"/>
  <c r="Y58" i="15"/>
  <c r="AF57" i="15"/>
  <c r="Y57" i="15"/>
  <c r="AF56" i="15"/>
  <c r="Y56" i="15"/>
  <c r="AF55" i="15"/>
  <c r="Y55" i="15"/>
  <c r="AF54" i="15"/>
  <c r="Y54" i="15"/>
  <c r="Y53" i="15"/>
  <c r="Y52" i="15"/>
  <c r="Y51" i="15"/>
  <c r="AF50" i="15"/>
  <c r="Y50" i="15"/>
  <c r="AF49" i="15"/>
  <c r="Y49" i="15"/>
  <c r="AF48" i="15"/>
  <c r="Y48" i="15"/>
  <c r="AF47" i="15"/>
  <c r="Y47" i="15"/>
  <c r="AF46" i="15"/>
  <c r="Y46" i="15"/>
  <c r="AF45" i="15"/>
  <c r="Y45" i="15"/>
  <c r="AF44" i="15"/>
  <c r="Y44" i="15"/>
  <c r="AF43" i="15"/>
  <c r="Y43" i="15"/>
  <c r="AF42" i="15"/>
  <c r="Y42" i="15"/>
  <c r="Y41" i="15"/>
  <c r="AF40" i="15"/>
  <c r="Y40" i="15"/>
  <c r="AF39" i="15"/>
  <c r="Y39" i="15"/>
  <c r="AF38" i="15"/>
  <c r="Y38" i="15"/>
  <c r="AF37" i="15"/>
  <c r="Y37" i="15"/>
  <c r="AF36" i="15"/>
  <c r="Y36" i="15"/>
  <c r="AF35" i="15"/>
  <c r="Y35" i="15"/>
  <c r="AF34" i="15"/>
  <c r="Y34" i="15"/>
  <c r="AF33" i="15"/>
  <c r="Y33" i="15"/>
  <c r="AF32" i="15"/>
  <c r="Y32" i="15"/>
  <c r="AF31" i="15"/>
  <c r="Y31" i="15"/>
  <c r="AF30" i="15"/>
  <c r="Y30" i="15"/>
  <c r="Y29" i="15"/>
  <c r="AF28" i="15"/>
  <c r="Y28" i="15"/>
  <c r="AF27" i="15"/>
  <c r="Y27" i="15"/>
  <c r="Y26" i="15"/>
  <c r="Y25" i="15"/>
  <c r="AF24" i="15"/>
  <c r="Y24" i="15"/>
  <c r="AF23" i="15"/>
  <c r="Y23" i="15"/>
  <c r="AF22" i="15"/>
  <c r="Y22" i="15"/>
  <c r="AF21" i="15"/>
  <c r="Y21" i="15"/>
  <c r="AF20" i="15"/>
  <c r="Y20" i="15"/>
  <c r="AF19" i="15"/>
  <c r="Y19" i="15"/>
  <c r="AF18" i="15"/>
  <c r="Y18" i="15"/>
  <c r="AF17" i="15"/>
  <c r="Y17" i="15"/>
  <c r="Y16" i="15"/>
  <c r="AF15" i="15"/>
  <c r="Y15" i="15"/>
  <c r="AF14" i="15"/>
  <c r="Y14" i="15"/>
  <c r="AF13" i="15"/>
  <c r="Y13" i="15"/>
  <c r="AF12" i="15"/>
  <c r="Y12" i="15"/>
  <c r="AF11" i="15"/>
  <c r="Y11" i="15"/>
  <c r="AF10" i="15"/>
  <c r="Y10" i="15"/>
  <c r="AF9" i="15"/>
  <c r="Y9" i="15"/>
  <c r="AF8" i="15"/>
  <c r="Y8" i="15"/>
  <c r="AF7" i="15"/>
  <c r="Y7" i="15"/>
</calcChain>
</file>

<file path=xl/sharedStrings.xml><?xml version="1.0" encoding="utf-8"?>
<sst xmlns="http://schemas.openxmlformats.org/spreadsheetml/2006/main" count="1067" uniqueCount="110">
  <si>
    <t>pH</t>
  </si>
  <si>
    <t>Spring</t>
  </si>
  <si>
    <t>Summer</t>
  </si>
  <si>
    <t>Fall</t>
  </si>
  <si>
    <t>A-2</t>
  </si>
  <si>
    <t>&lt;0.5</t>
  </si>
  <si>
    <t>Winter</t>
  </si>
  <si>
    <t xml:space="preserve">&lt;0.5 </t>
  </si>
  <si>
    <t>A2</t>
  </si>
  <si>
    <t>N.D.(5.3)</t>
  </si>
  <si>
    <t>N.D.(0.0012)</t>
  </si>
  <si>
    <t>N.D.(0.0015)</t>
  </si>
  <si>
    <t>N.D.(0.0014)</t>
  </si>
  <si>
    <t>N.D.(0.0013)</t>
  </si>
  <si>
    <t>N.D.(3.6)</t>
  </si>
  <si>
    <t>N.D.(0.0011)</t>
  </si>
  <si>
    <t>N.D.(5.9)</t>
  </si>
  <si>
    <t>N.D.(2.4)</t>
  </si>
  <si>
    <t>B-3</t>
  </si>
  <si>
    <t>N.D.(4.2)</t>
  </si>
  <si>
    <t>N.D.(0.0016)</t>
  </si>
  <si>
    <t>C-6</t>
  </si>
  <si>
    <t>N.D.(6.9)</t>
  </si>
  <si>
    <t>N.D.(5.0)</t>
  </si>
  <si>
    <t>N.D.(2.5)</t>
  </si>
  <si>
    <t>D-4 a</t>
  </si>
  <si>
    <t>D-4 a</t>
    <phoneticPr fontId="0"/>
  </si>
  <si>
    <t>N.D.(4.8)</t>
  </si>
  <si>
    <t>E-2 a</t>
  </si>
  <si>
    <t>E-2a</t>
  </si>
  <si>
    <t>N.D.(0.0017)</t>
  </si>
  <si>
    <t>F-1</t>
  </si>
  <si>
    <t>F1</t>
  </si>
  <si>
    <t>Date</t>
  </si>
  <si>
    <t>G-1</t>
  </si>
  <si>
    <t>G-4</t>
  </si>
  <si>
    <t>N.D.(23)</t>
  </si>
  <si>
    <t>H-1</t>
  </si>
  <si>
    <t xml:space="preserve">H-1 </t>
  </si>
  <si>
    <t xml:space="preserve">H-3 </t>
  </si>
  <si>
    <t>H-4</t>
  </si>
  <si>
    <t>H4</t>
  </si>
  <si>
    <t>H-2</t>
  </si>
  <si>
    <t>J-1</t>
  </si>
  <si>
    <t>N.D.(&lt;2.9)</t>
  </si>
  <si>
    <t>N.D.(2.6)</t>
  </si>
  <si>
    <t>N.D.(1.4)</t>
  </si>
  <si>
    <t>N.D.(1.6)</t>
  </si>
  <si>
    <t>N.D.(7.5)</t>
  </si>
  <si>
    <t>N.D.(3.1)</t>
  </si>
  <si>
    <t>N.D.(0.81)</t>
  </si>
  <si>
    <t>N.D.(8.5)</t>
  </si>
  <si>
    <t>LH</t>
  </si>
  <si>
    <t>LA</t>
  </si>
  <si>
    <t>LI</t>
  </si>
  <si>
    <t>RAS</t>
  </si>
  <si>
    <t>RU</t>
  </si>
  <si>
    <t>RM</t>
  </si>
  <si>
    <t>RN</t>
  </si>
  <si>
    <t>RO</t>
  </si>
  <si>
    <t>Order</t>
  </si>
  <si>
    <t>Anura</t>
  </si>
  <si>
    <t>-</t>
  </si>
  <si>
    <t>Frog tadpole</t>
  </si>
  <si>
    <t>Lithobates catesbeianus</t>
  </si>
  <si>
    <t>American bullfrog</t>
  </si>
  <si>
    <t>Lothobates</t>
  </si>
  <si>
    <t>Rana catesbeianus</t>
  </si>
  <si>
    <t>Rana</t>
  </si>
  <si>
    <t>N.D. is below detection and reference value in the bracket is minimium detection value of radicesium.</t>
  </si>
  <si>
    <t>Blank in the column Wo_CR_Cs134 and Wo_CR_Cs137 have no calculation for concentration rato because of the value detected below eith water sample or tadpole sample.</t>
  </si>
  <si>
    <t>EC</t>
  </si>
  <si>
    <t>Sample wt</t>
  </si>
  <si>
    <t>Unknown</t>
  </si>
  <si>
    <t>Cs137</t>
  </si>
  <si>
    <t>Depth (m)</t>
  </si>
  <si>
    <t>Cs134</t>
  </si>
  <si>
    <t>CR</t>
  </si>
  <si>
    <t>Average Wt. (g)</t>
  </si>
  <si>
    <t>Population (N)</t>
  </si>
  <si>
    <t>Kd</t>
  </si>
  <si>
    <t>Sesason</t>
  </si>
  <si>
    <t>River</t>
  </si>
  <si>
    <t>Sampling site</t>
  </si>
  <si>
    <t>Family</t>
  </si>
  <si>
    <t>Species</t>
  </si>
  <si>
    <t>English name</t>
  </si>
  <si>
    <t>Salinity</t>
  </si>
  <si>
    <t>N/A</t>
  </si>
  <si>
    <t>Note</t>
  </si>
  <si>
    <t>---</t>
  </si>
  <si>
    <t>Sample wt (g)</t>
  </si>
  <si>
    <t>Water Temperature (℃)</t>
  </si>
  <si>
    <t>BOD (mg/L)</t>
  </si>
  <si>
    <t>COD (mg/L)</t>
  </si>
  <si>
    <t>DO (mg/L)</t>
  </si>
  <si>
    <t>TOC (mg/L)</t>
  </si>
  <si>
    <t>SS (mg/L)</t>
  </si>
  <si>
    <t>Turbudity (FNU)</t>
  </si>
  <si>
    <t>RC in Water (Bq/L)</t>
  </si>
  <si>
    <t>RC in Sediment (Bq/kg-dry)</t>
  </si>
  <si>
    <t>RC in Food (Bq/kg-wet)</t>
  </si>
  <si>
    <t>RC in Tadpole (Bq/kg-wet)</t>
  </si>
  <si>
    <t>Total RC in Tadpole</t>
  </si>
  <si>
    <t>Blanks in the CR column have no concentration ratio calculations because the detected value is below either the water sample or the tadpole sample.</t>
  </si>
  <si>
    <t xml:space="preserve">Ecological Risk of Radiocesium Contamination and Dose Rate Estimation in Anuran Tadpole in Aquatic Environments </t>
  </si>
  <si>
    <t>Ashok Kumar Shrestha*</t>
  </si>
  <si>
    <t>Graduate School of Science and Engineering, Saitama University, 255 Shimo-Okubo, Sakura-Ku, Saitama, Japan</t>
  </si>
  <si>
    <r>
      <t>*Corresponding Author:</t>
    </r>
    <r>
      <rPr>
        <sz val="10"/>
        <color theme="1"/>
        <rFont val="Times New Roman"/>
        <family val="1"/>
      </rPr>
      <t xml:space="preserve"> Ashok Kumar Shrestha (ashokshrestha082@gmail.com)</t>
    </r>
  </si>
  <si>
    <t xml:space="preserve">Supporting Fig. 1: Map of study area extracted from Ministry of Environmnet, GoJ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</si>
</sst>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3">
    <font>
      <sz val="11"/>
      <color theme="1"/>
      <name val="Calibri"/>
      <family val="2"/>
      <scheme val="minor"/>
    </font>
    <font>
      <sz val="8"/>
      <color theme="1"/>
      <name val="ＭＳ 明朝"/>
      <family val="2"/>
      <charset val="128"/>
    </font>
    <font>
      <sz val="11"/>
      <name val="ＭＳ Ｐゴシック"/>
      <family val="3"/>
      <charset val="128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/>
  </cellStyleXfs>
  <cellXfs count="64">
    <xf numFmtId="0" fontId="0" fillId="0" borderId="0" xfId="0"/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/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7" fillId="0" borderId="3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16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8" fillId="0" borderId="1" xfId="0" quotePrefix="1" applyNumberFormat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shrinkToFit="1"/>
    </xf>
    <xf numFmtId="49" fontId="10" fillId="0" borderId="1" xfId="1" applyNumberFormat="1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164" fontId="8" fillId="0" borderId="8" xfId="0" applyNumberFormat="1" applyFont="1" applyBorder="1" applyAlignment="1">
      <alignment horizontal="center" vertical="center"/>
    </xf>
    <xf numFmtId="0" fontId="7" fillId="0" borderId="0" xfId="1" applyFont="1" applyAlignment="1">
      <alignment vertical="center" wrapText="1"/>
    </xf>
    <xf numFmtId="164" fontId="8" fillId="0" borderId="1" xfId="0" quotePrefix="1" applyNumberFormat="1" applyFont="1" applyBorder="1" applyAlignment="1">
      <alignment horizontal="center"/>
    </xf>
    <xf numFmtId="0" fontId="8" fillId="0" borderId="13" xfId="0" applyFont="1" applyBorder="1" applyAlignment="1">
      <alignment horizontal="center" vertical="center"/>
    </xf>
    <xf numFmtId="164" fontId="8" fillId="0" borderId="14" xfId="0" applyNumberFormat="1" applyFont="1" applyBorder="1" applyAlignment="1">
      <alignment horizontal="center" vertical="center"/>
    </xf>
    <xf numFmtId="164" fontId="8" fillId="0" borderId="14" xfId="0" quotePrefix="1" applyNumberFormat="1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164" fontId="8" fillId="0" borderId="6" xfId="0" quotePrefix="1" applyNumberFormat="1" applyFont="1" applyBorder="1" applyAlignment="1">
      <alignment horizontal="center"/>
    </xf>
    <xf numFmtId="164" fontId="8" fillId="0" borderId="7" xfId="0" applyNumberFormat="1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164" fontId="8" fillId="0" borderId="1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1" xfId="1" applyFont="1" applyBorder="1" applyAlignment="1">
      <alignment horizontal="center" vertical="center" wrapText="1"/>
    </xf>
    <xf numFmtId="0" fontId="7" fillId="0" borderId="12" xfId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3">
    <cellStyle name="Normal" xfId="0" builtinId="0"/>
    <cellStyle name="標準 2" xfId="1" xr:uid="{5F1ACF5A-7867-4096-880B-A51C6C084D23}"/>
    <cellStyle name="標準_測定結果_H20_品川水質_2009.03修正2" xfId="2" xr:uid="{A90C7C6E-02BA-4180-952D-F80545416C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4</xdr:row>
      <xdr:rowOff>171450</xdr:rowOff>
    </xdr:from>
    <xdr:to>
      <xdr:col>12</xdr:col>
      <xdr:colOff>359675</xdr:colOff>
      <xdr:row>50</xdr:row>
      <xdr:rowOff>131332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3AEE744-43F3-F22D-6D54-84B6482DD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914400"/>
          <a:ext cx="6446150" cy="82847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97BE1-2EC4-462F-9B1F-FB561DAE5228}">
  <dimension ref="A1:AH90"/>
  <sheetViews>
    <sheetView topLeftCell="A61" zoomScaleNormal="100" workbookViewId="0">
      <selection activeCell="D12" sqref="D12"/>
    </sheetView>
  </sheetViews>
  <sheetFormatPr defaultRowHeight="15.5"/>
  <cols>
    <col min="1" max="1" width="8.81640625" style="3" bestFit="1" customWidth="1"/>
    <col min="2" max="3" width="8.7265625" style="3"/>
    <col min="4" max="4" width="10.26953125" style="3" customWidth="1"/>
    <col min="5" max="5" width="8.7265625" style="3"/>
    <col min="6" max="6" width="11.81640625" style="3" customWidth="1"/>
    <col min="7" max="7" width="22.81640625" style="3" customWidth="1"/>
    <col min="8" max="8" width="20.453125" style="3" customWidth="1"/>
    <col min="9" max="18" width="8.81640625" style="3" bestFit="1" customWidth="1"/>
    <col min="19" max="19" width="9.81640625" style="3" customWidth="1"/>
    <col min="20" max="20" width="13.36328125" style="3" customWidth="1"/>
    <col min="21" max="23" width="8.81640625" style="3" bestFit="1" customWidth="1"/>
    <col min="24" max="24" width="11.81640625" style="3" customWidth="1"/>
    <col min="25" max="25" width="8.81640625" style="3" bestFit="1" customWidth="1"/>
    <col min="26" max="26" width="11.90625" style="3" customWidth="1"/>
    <col min="27" max="27" width="8.81640625" style="3" bestFit="1" customWidth="1"/>
    <col min="28" max="28" width="8.81640625" style="3" customWidth="1"/>
    <col min="29" max="29" width="15" style="3" customWidth="1"/>
    <col min="30" max="30" width="12" style="3" customWidth="1"/>
    <col min="31" max="31" width="8.81640625" style="3" bestFit="1" customWidth="1"/>
    <col min="32" max="32" width="10.1796875" style="3" customWidth="1"/>
    <col min="33" max="34" width="13.6328125" style="3" bestFit="1" customWidth="1"/>
    <col min="35" max="16384" width="8.7265625" style="3"/>
  </cols>
  <sheetData>
    <row r="1" spans="1:34">
      <c r="A1" s="40" t="s">
        <v>105</v>
      </c>
    </row>
    <row r="2" spans="1:34">
      <c r="A2" s="40" t="s">
        <v>106</v>
      </c>
    </row>
    <row r="3" spans="1:34">
      <c r="A3" s="41" t="s">
        <v>107</v>
      </c>
    </row>
    <row r="4" spans="1:34" ht="16" thickBot="1">
      <c r="A4" s="42" t="s">
        <v>108</v>
      </c>
    </row>
    <row r="5" spans="1:34" s="1" customFormat="1" ht="53.5" customHeight="1">
      <c r="A5" s="49" t="s">
        <v>33</v>
      </c>
      <c r="B5" s="51" t="s">
        <v>81</v>
      </c>
      <c r="C5" s="51" t="s">
        <v>82</v>
      </c>
      <c r="D5" s="51" t="s">
        <v>83</v>
      </c>
      <c r="E5" s="45" t="s">
        <v>60</v>
      </c>
      <c r="F5" s="45" t="s">
        <v>84</v>
      </c>
      <c r="G5" s="47" t="s">
        <v>85</v>
      </c>
      <c r="H5" s="45" t="s">
        <v>86</v>
      </c>
      <c r="I5" s="45" t="s">
        <v>75</v>
      </c>
      <c r="J5" s="45" t="s">
        <v>92</v>
      </c>
      <c r="K5" s="43" t="s">
        <v>0</v>
      </c>
      <c r="L5" s="43" t="s">
        <v>93</v>
      </c>
      <c r="M5" s="43" t="s">
        <v>94</v>
      </c>
      <c r="N5" s="43" t="s">
        <v>95</v>
      </c>
      <c r="O5" s="43" t="s">
        <v>71</v>
      </c>
      <c r="P5" s="43" t="s">
        <v>87</v>
      </c>
      <c r="Q5" s="43" t="s">
        <v>96</v>
      </c>
      <c r="R5" s="43" t="s">
        <v>97</v>
      </c>
      <c r="S5" s="43" t="s">
        <v>98</v>
      </c>
      <c r="T5" s="53" t="s">
        <v>99</v>
      </c>
      <c r="U5" s="53"/>
      <c r="V5" s="53" t="s">
        <v>100</v>
      </c>
      <c r="W5" s="53"/>
      <c r="X5" s="11" t="s">
        <v>101</v>
      </c>
      <c r="Y5" s="11" t="s">
        <v>80</v>
      </c>
      <c r="Z5" s="43" t="s">
        <v>79</v>
      </c>
      <c r="AA5" s="43" t="s">
        <v>72</v>
      </c>
      <c r="AB5" s="43" t="s">
        <v>91</v>
      </c>
      <c r="AC5" s="43" t="s">
        <v>78</v>
      </c>
      <c r="AD5" s="53" t="s">
        <v>102</v>
      </c>
      <c r="AE5" s="53"/>
      <c r="AF5" s="43" t="s">
        <v>103</v>
      </c>
      <c r="AG5" s="53" t="s">
        <v>77</v>
      </c>
      <c r="AH5" s="54"/>
    </row>
    <row r="6" spans="1:34" s="1" customFormat="1" thickBot="1">
      <c r="A6" s="50"/>
      <c r="B6" s="52"/>
      <c r="C6" s="52"/>
      <c r="D6" s="52"/>
      <c r="E6" s="46"/>
      <c r="F6" s="46"/>
      <c r="G6" s="48"/>
      <c r="H6" s="46"/>
      <c r="I6" s="46"/>
      <c r="J6" s="46"/>
      <c r="K6" s="44"/>
      <c r="L6" s="44"/>
      <c r="M6" s="44"/>
      <c r="N6" s="44"/>
      <c r="O6" s="44"/>
      <c r="P6" s="44"/>
      <c r="Q6" s="44"/>
      <c r="R6" s="44"/>
      <c r="S6" s="44"/>
      <c r="T6" s="12" t="s">
        <v>76</v>
      </c>
      <c r="U6" s="12" t="s">
        <v>74</v>
      </c>
      <c r="V6" s="12" t="s">
        <v>76</v>
      </c>
      <c r="W6" s="12" t="s">
        <v>74</v>
      </c>
      <c r="X6" s="12" t="s">
        <v>74</v>
      </c>
      <c r="Y6" s="12" t="s">
        <v>74</v>
      </c>
      <c r="Z6" s="44"/>
      <c r="AA6" s="44"/>
      <c r="AB6" s="44"/>
      <c r="AC6" s="44"/>
      <c r="AD6" s="12" t="s">
        <v>76</v>
      </c>
      <c r="AE6" s="12" t="s">
        <v>74</v>
      </c>
      <c r="AF6" s="44"/>
      <c r="AG6" s="12" t="s">
        <v>76</v>
      </c>
      <c r="AH6" s="13" t="s">
        <v>74</v>
      </c>
    </row>
    <row r="7" spans="1:34">
      <c r="A7" s="36">
        <v>2012</v>
      </c>
      <c r="B7" s="21" t="s">
        <v>3</v>
      </c>
      <c r="C7" s="21" t="s">
        <v>55</v>
      </c>
      <c r="D7" s="21" t="s">
        <v>4</v>
      </c>
      <c r="E7" s="21" t="s">
        <v>61</v>
      </c>
      <c r="F7" s="21" t="s">
        <v>62</v>
      </c>
      <c r="G7" s="21" t="s">
        <v>73</v>
      </c>
      <c r="H7" s="21" t="s">
        <v>63</v>
      </c>
      <c r="I7" s="22">
        <v>0.5</v>
      </c>
      <c r="J7" s="21">
        <v>16.8</v>
      </c>
      <c r="K7" s="21">
        <v>7.3</v>
      </c>
      <c r="L7" s="21" t="s">
        <v>5</v>
      </c>
      <c r="M7" s="21">
        <v>3.3</v>
      </c>
      <c r="N7" s="21">
        <v>9.9</v>
      </c>
      <c r="O7" s="21">
        <v>10.92</v>
      </c>
      <c r="P7" s="21">
        <v>7.0000000000000007E-2</v>
      </c>
      <c r="Q7" s="21">
        <v>1</v>
      </c>
      <c r="R7" s="21">
        <v>5</v>
      </c>
      <c r="S7" s="21">
        <v>1.9</v>
      </c>
      <c r="T7" s="21">
        <v>4.1000000000000002E-2</v>
      </c>
      <c r="U7" s="21">
        <v>6.7000000000000004E-2</v>
      </c>
      <c r="V7" s="21">
        <v>280</v>
      </c>
      <c r="W7" s="21">
        <v>470</v>
      </c>
      <c r="X7" s="21">
        <v>6</v>
      </c>
      <c r="Y7" s="21">
        <f t="shared" ref="Y7:Y38" si="0">W7/U7</f>
        <v>7014.9253731343279</v>
      </c>
      <c r="Z7" s="21">
        <v>21</v>
      </c>
      <c r="AA7" s="21">
        <v>1.2E-2</v>
      </c>
      <c r="AB7" s="21">
        <f>AA7*1000</f>
        <v>12</v>
      </c>
      <c r="AC7" s="21">
        <v>0.56999999999999995</v>
      </c>
      <c r="AD7" s="21">
        <v>270</v>
      </c>
      <c r="AE7" s="21">
        <v>450</v>
      </c>
      <c r="AF7" s="21">
        <f t="shared" ref="AF7:AF15" si="1">AD7+AE7</f>
        <v>720</v>
      </c>
      <c r="AG7" s="23">
        <v>6585.3658536585363</v>
      </c>
      <c r="AH7" s="37">
        <v>6716.4179104477607</v>
      </c>
    </row>
    <row r="8" spans="1:34">
      <c r="A8" s="26">
        <v>2012</v>
      </c>
      <c r="B8" s="14" t="s">
        <v>6</v>
      </c>
      <c r="C8" s="14" t="s">
        <v>55</v>
      </c>
      <c r="D8" s="14" t="s">
        <v>4</v>
      </c>
      <c r="E8" s="14" t="s">
        <v>61</v>
      </c>
      <c r="F8" s="14" t="s">
        <v>62</v>
      </c>
      <c r="G8" s="14" t="s">
        <v>73</v>
      </c>
      <c r="H8" s="14" t="s">
        <v>63</v>
      </c>
      <c r="I8" s="15">
        <v>0.5</v>
      </c>
      <c r="J8" s="14">
        <v>5.2</v>
      </c>
      <c r="K8" s="14">
        <v>7.5</v>
      </c>
      <c r="L8" s="14">
        <v>0.6</v>
      </c>
      <c r="M8" s="14">
        <v>2.2999999999999998</v>
      </c>
      <c r="N8" s="14">
        <v>12.9</v>
      </c>
      <c r="O8" s="14">
        <v>10.41</v>
      </c>
      <c r="P8" s="14">
        <v>0.05</v>
      </c>
      <c r="Q8" s="14">
        <v>0.6</v>
      </c>
      <c r="R8" s="14">
        <v>1</v>
      </c>
      <c r="S8" s="14">
        <v>0.8</v>
      </c>
      <c r="T8" s="14">
        <v>1.0999999999999999E-2</v>
      </c>
      <c r="U8" s="14">
        <v>0.02</v>
      </c>
      <c r="V8" s="14">
        <v>590</v>
      </c>
      <c r="W8" s="14">
        <v>1100</v>
      </c>
      <c r="X8" s="14"/>
      <c r="Y8" s="14">
        <f t="shared" si="0"/>
        <v>55000</v>
      </c>
      <c r="Z8" s="14">
        <v>20</v>
      </c>
      <c r="AA8" s="14">
        <v>1.4999999999999999E-2</v>
      </c>
      <c r="AB8" s="21">
        <f t="shared" ref="AB8:AB71" si="2">AA8*1000</f>
        <v>15</v>
      </c>
      <c r="AC8" s="14">
        <v>0.75</v>
      </c>
      <c r="AD8" s="14">
        <v>48</v>
      </c>
      <c r="AE8" s="14">
        <v>92</v>
      </c>
      <c r="AF8" s="14">
        <f t="shared" si="1"/>
        <v>140</v>
      </c>
      <c r="AG8" s="16">
        <v>4363.636363636364</v>
      </c>
      <c r="AH8" s="27">
        <v>4600</v>
      </c>
    </row>
    <row r="9" spans="1:34">
      <c r="A9" s="26">
        <v>2013</v>
      </c>
      <c r="B9" s="14" t="s">
        <v>1</v>
      </c>
      <c r="C9" s="14" t="s">
        <v>55</v>
      </c>
      <c r="D9" s="14" t="s">
        <v>4</v>
      </c>
      <c r="E9" s="14" t="s">
        <v>61</v>
      </c>
      <c r="F9" s="14" t="s">
        <v>62</v>
      </c>
      <c r="G9" s="14" t="s">
        <v>73</v>
      </c>
      <c r="H9" s="14" t="s">
        <v>63</v>
      </c>
      <c r="I9" s="15">
        <v>0.6</v>
      </c>
      <c r="J9" s="14">
        <v>23.5</v>
      </c>
      <c r="K9" s="14">
        <v>7.4</v>
      </c>
      <c r="L9" s="14">
        <v>0.9</v>
      </c>
      <c r="M9" s="14">
        <v>5.2</v>
      </c>
      <c r="N9" s="14">
        <v>8.8000000000000007</v>
      </c>
      <c r="O9" s="14">
        <v>15.7</v>
      </c>
      <c r="P9" s="14">
        <v>0.08</v>
      </c>
      <c r="Q9" s="14">
        <v>1.8</v>
      </c>
      <c r="R9" s="14">
        <v>12</v>
      </c>
      <c r="S9" s="14">
        <v>5</v>
      </c>
      <c r="T9" s="14">
        <v>5.3999999999999999E-2</v>
      </c>
      <c r="U9" s="14">
        <v>0.12</v>
      </c>
      <c r="V9" s="14">
        <v>320</v>
      </c>
      <c r="W9" s="14">
        <v>720</v>
      </c>
      <c r="X9" s="14">
        <v>500</v>
      </c>
      <c r="Y9" s="14">
        <f t="shared" si="0"/>
        <v>6000</v>
      </c>
      <c r="Z9" s="14">
        <v>156</v>
      </c>
      <c r="AA9" s="14">
        <v>0.1515</v>
      </c>
      <c r="AB9" s="21">
        <f t="shared" si="2"/>
        <v>151.5</v>
      </c>
      <c r="AC9" s="14">
        <v>0.97</v>
      </c>
      <c r="AD9" s="14">
        <v>110</v>
      </c>
      <c r="AE9" s="14">
        <v>220</v>
      </c>
      <c r="AF9" s="14">
        <f t="shared" si="1"/>
        <v>330</v>
      </c>
      <c r="AG9" s="16">
        <v>2037.037037037037</v>
      </c>
      <c r="AH9" s="27">
        <v>1833.3333333333335</v>
      </c>
    </row>
    <row r="10" spans="1:34">
      <c r="A10" s="26">
        <v>2013</v>
      </c>
      <c r="B10" s="14" t="s">
        <v>2</v>
      </c>
      <c r="C10" s="14" t="s">
        <v>55</v>
      </c>
      <c r="D10" s="14" t="s">
        <v>4</v>
      </c>
      <c r="E10" s="14" t="s">
        <v>61</v>
      </c>
      <c r="F10" s="14" t="s">
        <v>62</v>
      </c>
      <c r="G10" s="14" t="s">
        <v>73</v>
      </c>
      <c r="H10" s="14" t="s">
        <v>63</v>
      </c>
      <c r="I10" s="15">
        <v>0.62</v>
      </c>
      <c r="J10" s="14">
        <v>22.3</v>
      </c>
      <c r="K10" s="14">
        <v>7.1</v>
      </c>
      <c r="L10" s="14">
        <v>1.4</v>
      </c>
      <c r="M10" s="14">
        <v>7.2</v>
      </c>
      <c r="N10" s="14">
        <v>8.5</v>
      </c>
      <c r="O10" s="14">
        <v>12.4</v>
      </c>
      <c r="P10" s="14">
        <v>0.06</v>
      </c>
      <c r="Q10" s="14">
        <v>3.1</v>
      </c>
      <c r="R10" s="14">
        <v>20</v>
      </c>
      <c r="S10" s="14">
        <v>7.1</v>
      </c>
      <c r="T10" s="14">
        <v>6.4000000000000001E-2</v>
      </c>
      <c r="U10" s="14">
        <v>0.14000000000000001</v>
      </c>
      <c r="V10" s="14">
        <v>520</v>
      </c>
      <c r="W10" s="14">
        <v>1100</v>
      </c>
      <c r="X10" s="14">
        <v>320</v>
      </c>
      <c r="Y10" s="14">
        <f t="shared" si="0"/>
        <v>7857.142857142856</v>
      </c>
      <c r="Z10" s="14">
        <v>27</v>
      </c>
      <c r="AA10" s="14">
        <v>2.2499999999999999E-2</v>
      </c>
      <c r="AB10" s="21">
        <f t="shared" si="2"/>
        <v>22.5</v>
      </c>
      <c r="AC10" s="14">
        <v>0.83</v>
      </c>
      <c r="AD10" s="14">
        <v>99</v>
      </c>
      <c r="AE10" s="14">
        <v>200</v>
      </c>
      <c r="AF10" s="14">
        <f t="shared" si="1"/>
        <v>299</v>
      </c>
      <c r="AG10" s="16">
        <v>1546.875</v>
      </c>
      <c r="AH10" s="27">
        <v>1428.5714285714284</v>
      </c>
    </row>
    <row r="11" spans="1:34">
      <c r="A11" s="26">
        <v>2013</v>
      </c>
      <c r="B11" s="14" t="s">
        <v>3</v>
      </c>
      <c r="C11" s="14" t="s">
        <v>55</v>
      </c>
      <c r="D11" s="14" t="s">
        <v>4</v>
      </c>
      <c r="E11" s="14" t="s">
        <v>61</v>
      </c>
      <c r="F11" s="14" t="s">
        <v>62</v>
      </c>
      <c r="G11" s="14" t="s">
        <v>73</v>
      </c>
      <c r="H11" s="14" t="s">
        <v>63</v>
      </c>
      <c r="I11" s="15">
        <v>0.43</v>
      </c>
      <c r="J11" s="14">
        <v>20.2</v>
      </c>
      <c r="K11" s="14">
        <v>7.9</v>
      </c>
      <c r="L11" s="14" t="s">
        <v>5</v>
      </c>
      <c r="M11" s="14">
        <v>2.2999999999999998</v>
      </c>
      <c r="N11" s="14">
        <v>10</v>
      </c>
      <c r="O11" s="14">
        <v>11.7</v>
      </c>
      <c r="P11" s="14">
        <v>0.06</v>
      </c>
      <c r="Q11" s="14">
        <v>1.1000000000000001</v>
      </c>
      <c r="R11" s="14">
        <v>2</v>
      </c>
      <c r="S11" s="14">
        <v>1.7</v>
      </c>
      <c r="T11" s="14">
        <v>1.6E-2</v>
      </c>
      <c r="U11" s="14">
        <v>3.5999999999999997E-2</v>
      </c>
      <c r="V11" s="14">
        <v>380</v>
      </c>
      <c r="W11" s="14">
        <v>810</v>
      </c>
      <c r="X11" s="14">
        <v>240</v>
      </c>
      <c r="Y11" s="14">
        <f t="shared" si="0"/>
        <v>22500</v>
      </c>
      <c r="Z11" s="14">
        <v>47</v>
      </c>
      <c r="AA11" s="14">
        <v>3.6200000000000003E-2</v>
      </c>
      <c r="AB11" s="21">
        <f t="shared" si="2"/>
        <v>36.200000000000003</v>
      </c>
      <c r="AC11" s="14">
        <v>0.77</v>
      </c>
      <c r="AD11" s="14">
        <v>88</v>
      </c>
      <c r="AE11" s="14">
        <v>190</v>
      </c>
      <c r="AF11" s="14">
        <f t="shared" si="1"/>
        <v>278</v>
      </c>
      <c r="AG11" s="16">
        <v>5500</v>
      </c>
      <c r="AH11" s="27">
        <v>5277.7777777777783</v>
      </c>
    </row>
    <row r="12" spans="1:34">
      <c r="A12" s="26">
        <v>2013</v>
      </c>
      <c r="B12" s="14" t="s">
        <v>6</v>
      </c>
      <c r="C12" s="14" t="s">
        <v>55</v>
      </c>
      <c r="D12" s="14" t="s">
        <v>4</v>
      </c>
      <c r="E12" s="14" t="s">
        <v>61</v>
      </c>
      <c r="F12" s="14" t="s">
        <v>62</v>
      </c>
      <c r="G12" s="14" t="s">
        <v>73</v>
      </c>
      <c r="H12" s="14" t="s">
        <v>63</v>
      </c>
      <c r="I12" s="15">
        <v>0.88</v>
      </c>
      <c r="J12" s="14">
        <v>7.9</v>
      </c>
      <c r="K12" s="14">
        <v>7.6</v>
      </c>
      <c r="L12" s="14" t="s">
        <v>5</v>
      </c>
      <c r="M12" s="14">
        <v>1.7</v>
      </c>
      <c r="N12" s="14">
        <v>12.5</v>
      </c>
      <c r="O12" s="14">
        <v>11.4</v>
      </c>
      <c r="P12" s="14">
        <v>0.06</v>
      </c>
      <c r="Q12" s="14">
        <v>0.7</v>
      </c>
      <c r="R12" s="14">
        <v>2</v>
      </c>
      <c r="S12" s="14">
        <v>1</v>
      </c>
      <c r="T12" s="14">
        <v>2.3E-2</v>
      </c>
      <c r="U12" s="14">
        <v>5.7000000000000002E-2</v>
      </c>
      <c r="V12" s="14">
        <v>95</v>
      </c>
      <c r="W12" s="14">
        <v>220</v>
      </c>
      <c r="X12" s="14">
        <v>200</v>
      </c>
      <c r="Y12" s="14">
        <f t="shared" si="0"/>
        <v>3859.6491228070172</v>
      </c>
      <c r="Z12" s="14">
        <v>21</v>
      </c>
      <c r="AA12" s="14">
        <v>1.52E-2</v>
      </c>
      <c r="AB12" s="21">
        <f t="shared" si="2"/>
        <v>15.2</v>
      </c>
      <c r="AC12" s="14">
        <v>0.72</v>
      </c>
      <c r="AD12" s="14">
        <v>100</v>
      </c>
      <c r="AE12" s="14">
        <v>230</v>
      </c>
      <c r="AF12" s="14">
        <f t="shared" si="1"/>
        <v>330</v>
      </c>
      <c r="AG12" s="16">
        <v>4347.826086956522</v>
      </c>
      <c r="AH12" s="27">
        <v>4035.0877192982452</v>
      </c>
    </row>
    <row r="13" spans="1:34">
      <c r="A13" s="26">
        <v>2014</v>
      </c>
      <c r="B13" s="14" t="s">
        <v>1</v>
      </c>
      <c r="C13" s="14" t="s">
        <v>55</v>
      </c>
      <c r="D13" s="14" t="s">
        <v>4</v>
      </c>
      <c r="E13" s="14" t="s">
        <v>61</v>
      </c>
      <c r="F13" s="14" t="s">
        <v>62</v>
      </c>
      <c r="G13" s="14" t="s">
        <v>73</v>
      </c>
      <c r="H13" s="14" t="s">
        <v>63</v>
      </c>
      <c r="I13" s="15">
        <v>0.77</v>
      </c>
      <c r="J13" s="14">
        <v>19.100000000000001</v>
      </c>
      <c r="K13" s="14">
        <v>7.5</v>
      </c>
      <c r="L13" s="14">
        <v>0.6</v>
      </c>
      <c r="M13" s="14">
        <v>3.2</v>
      </c>
      <c r="N13" s="14">
        <v>9.6</v>
      </c>
      <c r="O13" s="14">
        <v>10.9</v>
      </c>
      <c r="P13" s="14">
        <v>6.0999999999999999E-2</v>
      </c>
      <c r="Q13" s="14">
        <v>1.2</v>
      </c>
      <c r="R13" s="14">
        <v>17</v>
      </c>
      <c r="S13" s="14">
        <v>4.4000000000000004</v>
      </c>
      <c r="T13" s="14">
        <v>2.9000000000000001E-2</v>
      </c>
      <c r="U13" s="14">
        <v>7.6999999999999999E-2</v>
      </c>
      <c r="V13" s="14">
        <v>83</v>
      </c>
      <c r="W13" s="14">
        <v>220</v>
      </c>
      <c r="X13" s="14">
        <v>460</v>
      </c>
      <c r="Y13" s="14">
        <f t="shared" si="0"/>
        <v>2857.1428571428573</v>
      </c>
      <c r="Z13" s="14">
        <v>50</v>
      </c>
      <c r="AA13" s="14">
        <v>7.5600000000000001E-2</v>
      </c>
      <c r="AB13" s="21">
        <f t="shared" si="2"/>
        <v>75.599999999999994</v>
      </c>
      <c r="AC13" s="14">
        <v>1.51</v>
      </c>
      <c r="AD13" s="14">
        <v>74</v>
      </c>
      <c r="AE13" s="14">
        <v>200</v>
      </c>
      <c r="AF13" s="14">
        <f t="shared" si="1"/>
        <v>274</v>
      </c>
      <c r="AG13" s="16">
        <v>2551.7241379310344</v>
      </c>
      <c r="AH13" s="27">
        <v>2597.4025974025976</v>
      </c>
    </row>
    <row r="14" spans="1:34">
      <c r="A14" s="26">
        <v>2014</v>
      </c>
      <c r="B14" s="14" t="s">
        <v>2</v>
      </c>
      <c r="C14" s="14" t="s">
        <v>55</v>
      </c>
      <c r="D14" s="14" t="s">
        <v>4</v>
      </c>
      <c r="E14" s="14" t="s">
        <v>61</v>
      </c>
      <c r="F14" s="14" t="s">
        <v>62</v>
      </c>
      <c r="G14" s="14" t="s">
        <v>73</v>
      </c>
      <c r="H14" s="14" t="s">
        <v>63</v>
      </c>
      <c r="I14" s="15">
        <v>0.81</v>
      </c>
      <c r="J14" s="14">
        <v>20.9</v>
      </c>
      <c r="K14" s="14">
        <v>7.2</v>
      </c>
      <c r="L14" s="14">
        <v>1.2</v>
      </c>
      <c r="M14" s="14">
        <v>4.8</v>
      </c>
      <c r="N14" s="14">
        <v>8.6</v>
      </c>
      <c r="O14" s="14">
        <v>16.600000000000001</v>
      </c>
      <c r="P14" s="14">
        <v>0.06</v>
      </c>
      <c r="Q14" s="14">
        <v>1.8</v>
      </c>
      <c r="R14" s="14">
        <v>16</v>
      </c>
      <c r="S14" s="14">
        <v>3.9</v>
      </c>
      <c r="T14" s="14">
        <v>0.03</v>
      </c>
      <c r="U14" s="14">
        <v>8.6999999999999994E-2</v>
      </c>
      <c r="V14" s="14">
        <v>230</v>
      </c>
      <c r="W14" s="14">
        <v>700</v>
      </c>
      <c r="X14" s="14">
        <v>160</v>
      </c>
      <c r="Y14" s="14">
        <f t="shared" si="0"/>
        <v>8045.977011494253</v>
      </c>
      <c r="Z14" s="14">
        <v>35</v>
      </c>
      <c r="AA14" s="14">
        <v>2.1399999999999999E-2</v>
      </c>
      <c r="AB14" s="21">
        <f t="shared" si="2"/>
        <v>21.4</v>
      </c>
      <c r="AC14" s="14">
        <v>0.61</v>
      </c>
      <c r="AD14" s="14">
        <v>67</v>
      </c>
      <c r="AE14" s="14">
        <v>190</v>
      </c>
      <c r="AF14" s="14">
        <f t="shared" si="1"/>
        <v>257</v>
      </c>
      <c r="AG14" s="16">
        <v>2233.3333333333335</v>
      </c>
      <c r="AH14" s="27">
        <v>2183.9080459770116</v>
      </c>
    </row>
    <row r="15" spans="1:34">
      <c r="A15" s="26">
        <v>2015</v>
      </c>
      <c r="B15" s="14" t="s">
        <v>1</v>
      </c>
      <c r="C15" s="14" t="s">
        <v>55</v>
      </c>
      <c r="D15" s="14" t="s">
        <v>8</v>
      </c>
      <c r="E15" s="14" t="s">
        <v>61</v>
      </c>
      <c r="F15" s="14" t="s">
        <v>62</v>
      </c>
      <c r="G15" s="14" t="s">
        <v>73</v>
      </c>
      <c r="H15" s="14" t="s">
        <v>63</v>
      </c>
      <c r="I15" s="15">
        <v>0.75</v>
      </c>
      <c r="J15" s="14">
        <v>18.600000000000001</v>
      </c>
      <c r="K15" s="14">
        <v>7.3</v>
      </c>
      <c r="L15" s="14">
        <v>0.7</v>
      </c>
      <c r="M15" s="14">
        <v>4.5</v>
      </c>
      <c r="N15" s="14">
        <v>9.5</v>
      </c>
      <c r="O15" s="14">
        <v>13</v>
      </c>
      <c r="P15" s="14">
        <v>7.0000000000000007E-2</v>
      </c>
      <c r="Q15" s="14">
        <v>1.7</v>
      </c>
      <c r="R15" s="14">
        <v>7</v>
      </c>
      <c r="S15" s="14">
        <v>3.1</v>
      </c>
      <c r="T15" s="14">
        <v>1.9E-2</v>
      </c>
      <c r="U15" s="14">
        <v>6.4000000000000001E-2</v>
      </c>
      <c r="V15" s="14">
        <v>50</v>
      </c>
      <c r="W15" s="14">
        <v>190</v>
      </c>
      <c r="X15" s="14">
        <v>200</v>
      </c>
      <c r="Y15" s="14">
        <f t="shared" si="0"/>
        <v>2968.75</v>
      </c>
      <c r="Z15" s="14">
        <v>30</v>
      </c>
      <c r="AA15" s="14">
        <v>3.3000000000000002E-2</v>
      </c>
      <c r="AB15" s="21">
        <f t="shared" si="2"/>
        <v>33</v>
      </c>
      <c r="AC15" s="14">
        <v>1.1000000000000001</v>
      </c>
      <c r="AD15" s="14">
        <v>32</v>
      </c>
      <c r="AE15" s="14">
        <v>120</v>
      </c>
      <c r="AF15" s="14">
        <f t="shared" si="1"/>
        <v>152</v>
      </c>
      <c r="AG15" s="16">
        <v>1684.2105263157896</v>
      </c>
      <c r="AH15" s="27">
        <v>1875</v>
      </c>
    </row>
    <row r="16" spans="1:34">
      <c r="A16" s="26">
        <v>2015</v>
      </c>
      <c r="B16" s="14" t="s">
        <v>6</v>
      </c>
      <c r="C16" s="14" t="s">
        <v>55</v>
      </c>
      <c r="D16" s="14" t="s">
        <v>4</v>
      </c>
      <c r="E16" s="14" t="s">
        <v>61</v>
      </c>
      <c r="F16" s="14" t="s">
        <v>62</v>
      </c>
      <c r="G16" s="14" t="s">
        <v>73</v>
      </c>
      <c r="H16" s="14" t="s">
        <v>63</v>
      </c>
      <c r="I16" s="15">
        <v>0.9</v>
      </c>
      <c r="J16" s="14">
        <v>8.8000000000000007</v>
      </c>
      <c r="K16" s="14">
        <v>7.5</v>
      </c>
      <c r="L16" s="14">
        <v>0.9</v>
      </c>
      <c r="M16" s="14">
        <v>2.4</v>
      </c>
      <c r="N16" s="14">
        <v>11.7</v>
      </c>
      <c r="O16" s="14">
        <v>11.2</v>
      </c>
      <c r="P16" s="14">
        <v>0.06</v>
      </c>
      <c r="Q16" s="14">
        <v>0.9</v>
      </c>
      <c r="R16" s="14">
        <v>5</v>
      </c>
      <c r="S16" s="14">
        <v>3.4</v>
      </c>
      <c r="T16" s="14">
        <v>7.1999999999999998E-3</v>
      </c>
      <c r="U16" s="14">
        <v>3.2000000000000001E-2</v>
      </c>
      <c r="V16" s="14">
        <v>34</v>
      </c>
      <c r="W16" s="14">
        <v>200</v>
      </c>
      <c r="X16" s="14">
        <v>110</v>
      </c>
      <c r="Y16" s="14">
        <f t="shared" si="0"/>
        <v>6250</v>
      </c>
      <c r="Z16" s="14">
        <v>14</v>
      </c>
      <c r="AA16" s="14">
        <v>1.0999999999999999E-2</v>
      </c>
      <c r="AB16" s="21">
        <f t="shared" si="2"/>
        <v>11</v>
      </c>
      <c r="AC16" s="14">
        <v>0.79</v>
      </c>
      <c r="AD16" s="17" t="s">
        <v>9</v>
      </c>
      <c r="AE16" s="14">
        <v>19</v>
      </c>
      <c r="AF16" s="14">
        <v>19</v>
      </c>
      <c r="AG16" s="18" t="s">
        <v>90</v>
      </c>
      <c r="AH16" s="27">
        <v>593.75</v>
      </c>
    </row>
    <row r="17" spans="1:34">
      <c r="A17" s="26">
        <v>2016</v>
      </c>
      <c r="B17" s="14" t="s">
        <v>1</v>
      </c>
      <c r="C17" s="14" t="s">
        <v>55</v>
      </c>
      <c r="D17" s="14" t="s">
        <v>4</v>
      </c>
      <c r="E17" s="14" t="s">
        <v>61</v>
      </c>
      <c r="F17" s="14" t="s">
        <v>62</v>
      </c>
      <c r="G17" s="14" t="s">
        <v>73</v>
      </c>
      <c r="H17" s="14" t="s">
        <v>63</v>
      </c>
      <c r="I17" s="15">
        <v>0.74</v>
      </c>
      <c r="J17" s="14">
        <v>20.100000000000001</v>
      </c>
      <c r="K17" s="14">
        <v>7.5</v>
      </c>
      <c r="L17" s="14" t="s">
        <v>5</v>
      </c>
      <c r="M17" s="14">
        <v>3.1</v>
      </c>
      <c r="N17" s="14">
        <v>9.5</v>
      </c>
      <c r="O17" s="14">
        <v>12.7</v>
      </c>
      <c r="P17" s="14">
        <v>7.0000000000000007E-2</v>
      </c>
      <c r="Q17" s="14">
        <v>1</v>
      </c>
      <c r="R17" s="14">
        <v>4</v>
      </c>
      <c r="S17" s="14">
        <v>2.4</v>
      </c>
      <c r="T17" s="14">
        <v>3.7000000000000002E-3</v>
      </c>
      <c r="U17" s="14">
        <v>0.02</v>
      </c>
      <c r="V17" s="14">
        <v>53</v>
      </c>
      <c r="W17" s="14">
        <v>290</v>
      </c>
      <c r="X17" s="14">
        <v>240</v>
      </c>
      <c r="Y17" s="14">
        <f t="shared" si="0"/>
        <v>14500</v>
      </c>
      <c r="Z17" s="14">
        <v>24</v>
      </c>
      <c r="AA17" s="14">
        <v>0.02</v>
      </c>
      <c r="AB17" s="21">
        <f t="shared" si="2"/>
        <v>20</v>
      </c>
      <c r="AC17" s="14">
        <v>0.83</v>
      </c>
      <c r="AD17" s="14">
        <v>27</v>
      </c>
      <c r="AE17" s="14">
        <v>150</v>
      </c>
      <c r="AF17" s="14">
        <f t="shared" ref="AF17:AF24" si="3">AD17+AE17</f>
        <v>177</v>
      </c>
      <c r="AG17" s="16">
        <v>7297.2972972972966</v>
      </c>
      <c r="AH17" s="27">
        <v>7500</v>
      </c>
    </row>
    <row r="18" spans="1:34">
      <c r="A18" s="26">
        <v>2016</v>
      </c>
      <c r="B18" s="14" t="s">
        <v>3</v>
      </c>
      <c r="C18" s="14" t="s">
        <v>55</v>
      </c>
      <c r="D18" s="14" t="s">
        <v>4</v>
      </c>
      <c r="E18" s="14" t="s">
        <v>61</v>
      </c>
      <c r="F18" s="14" t="s">
        <v>62</v>
      </c>
      <c r="G18" s="14" t="s">
        <v>73</v>
      </c>
      <c r="H18" s="14" t="s">
        <v>63</v>
      </c>
      <c r="I18" s="15">
        <v>0.86</v>
      </c>
      <c r="J18" s="14">
        <v>16.5</v>
      </c>
      <c r="K18" s="14">
        <v>7.7</v>
      </c>
      <c r="L18" s="14">
        <v>0.9</v>
      </c>
      <c r="M18" s="14">
        <v>3.1</v>
      </c>
      <c r="N18" s="14">
        <v>10.6</v>
      </c>
      <c r="O18" s="14">
        <v>10.1</v>
      </c>
      <c r="P18" s="14">
        <v>0.06</v>
      </c>
      <c r="Q18" s="14">
        <v>1.3</v>
      </c>
      <c r="R18" s="14">
        <v>4</v>
      </c>
      <c r="S18" s="14">
        <v>2.8</v>
      </c>
      <c r="T18" s="14">
        <v>5.4000000000000003E-3</v>
      </c>
      <c r="U18" s="14">
        <v>2.9000000000000001E-2</v>
      </c>
      <c r="V18" s="14">
        <v>28</v>
      </c>
      <c r="W18" s="14">
        <v>220</v>
      </c>
      <c r="X18" s="14">
        <v>170</v>
      </c>
      <c r="Y18" s="14">
        <f t="shared" si="0"/>
        <v>7586.2068965517237</v>
      </c>
      <c r="Z18" s="14">
        <v>28</v>
      </c>
      <c r="AA18" s="14">
        <v>1.7999999999999999E-2</v>
      </c>
      <c r="AB18" s="21">
        <f t="shared" si="2"/>
        <v>18</v>
      </c>
      <c r="AC18" s="14">
        <v>0.64</v>
      </c>
      <c r="AD18" s="14">
        <v>15</v>
      </c>
      <c r="AE18" s="14">
        <v>120</v>
      </c>
      <c r="AF18" s="14">
        <f t="shared" si="3"/>
        <v>135</v>
      </c>
      <c r="AG18" s="16">
        <v>2777.7777777777778</v>
      </c>
      <c r="AH18" s="27">
        <v>4137.9310344827582</v>
      </c>
    </row>
    <row r="19" spans="1:34">
      <c r="A19" s="26">
        <v>2017</v>
      </c>
      <c r="B19" s="14" t="s">
        <v>1</v>
      </c>
      <c r="C19" s="14" t="s">
        <v>55</v>
      </c>
      <c r="D19" s="14" t="s">
        <v>4</v>
      </c>
      <c r="E19" s="14" t="s">
        <v>61</v>
      </c>
      <c r="F19" s="14" t="s">
        <v>62</v>
      </c>
      <c r="G19" s="14" t="s">
        <v>73</v>
      </c>
      <c r="H19" s="14" t="s">
        <v>63</v>
      </c>
      <c r="I19" s="15">
        <v>0.84</v>
      </c>
      <c r="J19" s="14">
        <v>17.5</v>
      </c>
      <c r="K19" s="14">
        <v>7.6</v>
      </c>
      <c r="L19" s="14">
        <v>0.7</v>
      </c>
      <c r="M19" s="14">
        <v>3.2</v>
      </c>
      <c r="N19" s="14">
        <v>9.8000000000000007</v>
      </c>
      <c r="O19" s="14">
        <v>12.3</v>
      </c>
      <c r="P19" s="14">
        <v>7.0000000000000007E-2</v>
      </c>
      <c r="Q19" s="14">
        <v>1.4</v>
      </c>
      <c r="R19" s="14">
        <v>3</v>
      </c>
      <c r="S19" s="14">
        <v>1.8</v>
      </c>
      <c r="T19" s="14">
        <v>1.9E-3</v>
      </c>
      <c r="U19" s="14">
        <v>1.2999999999999999E-2</v>
      </c>
      <c r="V19" s="14">
        <v>25</v>
      </c>
      <c r="W19" s="14">
        <v>200</v>
      </c>
      <c r="X19" s="14">
        <v>220</v>
      </c>
      <c r="Y19" s="14">
        <f t="shared" si="0"/>
        <v>15384.615384615385</v>
      </c>
      <c r="Z19" s="14">
        <v>130</v>
      </c>
      <c r="AA19" s="14">
        <v>7.0999999999999994E-2</v>
      </c>
      <c r="AB19" s="21">
        <f t="shared" si="2"/>
        <v>71</v>
      </c>
      <c r="AC19" s="14">
        <v>0.55000000000000004</v>
      </c>
      <c r="AD19" s="14">
        <v>14</v>
      </c>
      <c r="AE19" s="14">
        <v>120</v>
      </c>
      <c r="AF19" s="14">
        <f t="shared" si="3"/>
        <v>134</v>
      </c>
      <c r="AG19" s="16">
        <v>7368.4210526315792</v>
      </c>
      <c r="AH19" s="27">
        <v>9230.7692307692305</v>
      </c>
    </row>
    <row r="20" spans="1:34">
      <c r="A20" s="26">
        <v>2017</v>
      </c>
      <c r="B20" s="14" t="s">
        <v>2</v>
      </c>
      <c r="C20" s="14" t="s">
        <v>55</v>
      </c>
      <c r="D20" s="14" t="s">
        <v>4</v>
      </c>
      <c r="E20" s="14" t="s">
        <v>61</v>
      </c>
      <c r="F20" s="14" t="s">
        <v>62</v>
      </c>
      <c r="G20" s="14" t="s">
        <v>73</v>
      </c>
      <c r="H20" s="14" t="s">
        <v>63</v>
      </c>
      <c r="I20" s="15">
        <v>0.81</v>
      </c>
      <c r="J20" s="14">
        <v>20.2</v>
      </c>
      <c r="K20" s="14">
        <v>7.2</v>
      </c>
      <c r="L20" s="14">
        <v>0.6</v>
      </c>
      <c r="M20" s="14">
        <v>3.4</v>
      </c>
      <c r="N20" s="14">
        <v>9.6999999999999993</v>
      </c>
      <c r="O20" s="14">
        <v>10.8</v>
      </c>
      <c r="P20" s="14">
        <v>0.06</v>
      </c>
      <c r="Q20" s="14">
        <v>1.2</v>
      </c>
      <c r="R20" s="14">
        <v>7</v>
      </c>
      <c r="S20" s="14">
        <v>2.8</v>
      </c>
      <c r="T20" s="14">
        <v>3.3E-3</v>
      </c>
      <c r="U20" s="14">
        <v>2.5000000000000001E-2</v>
      </c>
      <c r="V20" s="14">
        <v>42</v>
      </c>
      <c r="W20" s="14">
        <v>340</v>
      </c>
      <c r="X20" s="14">
        <v>110</v>
      </c>
      <c r="Y20" s="14">
        <f t="shared" si="0"/>
        <v>13600</v>
      </c>
      <c r="Z20" s="14">
        <v>5</v>
      </c>
      <c r="AA20" s="14">
        <v>3.5000000000000001E-3</v>
      </c>
      <c r="AB20" s="21">
        <f t="shared" si="2"/>
        <v>3.5</v>
      </c>
      <c r="AC20" s="14">
        <v>0.7</v>
      </c>
      <c r="AD20" s="14">
        <v>17</v>
      </c>
      <c r="AE20" s="14">
        <v>78</v>
      </c>
      <c r="AF20" s="14">
        <f t="shared" si="3"/>
        <v>95</v>
      </c>
      <c r="AG20" s="16">
        <v>5151.515151515152</v>
      </c>
      <c r="AH20" s="27">
        <v>3120</v>
      </c>
    </row>
    <row r="21" spans="1:34">
      <c r="A21" s="26">
        <v>2018</v>
      </c>
      <c r="B21" s="14" t="s">
        <v>1</v>
      </c>
      <c r="C21" s="14" t="s">
        <v>55</v>
      </c>
      <c r="D21" s="14" t="s">
        <v>4</v>
      </c>
      <c r="E21" s="14" t="s">
        <v>61</v>
      </c>
      <c r="F21" s="14" t="s">
        <v>62</v>
      </c>
      <c r="G21" s="14" t="s">
        <v>73</v>
      </c>
      <c r="H21" s="14" t="s">
        <v>63</v>
      </c>
      <c r="I21" s="15">
        <v>0.82</v>
      </c>
      <c r="J21" s="14">
        <v>23</v>
      </c>
      <c r="K21" s="14">
        <v>7.3</v>
      </c>
      <c r="L21" s="14">
        <v>0.8</v>
      </c>
      <c r="M21" s="14">
        <v>3.6</v>
      </c>
      <c r="N21" s="14">
        <v>9.8000000000000007</v>
      </c>
      <c r="O21" s="14">
        <v>13.1</v>
      </c>
      <c r="P21" s="14">
        <v>7.0000000000000007E-2</v>
      </c>
      <c r="Q21" s="14">
        <v>1.5</v>
      </c>
      <c r="R21" s="14">
        <v>4</v>
      </c>
      <c r="S21" s="14">
        <v>2.5</v>
      </c>
      <c r="T21" s="14">
        <v>3.2000000000000002E-3</v>
      </c>
      <c r="U21" s="14">
        <v>2.5999999999999999E-2</v>
      </c>
      <c r="V21" s="14">
        <v>15</v>
      </c>
      <c r="W21" s="14">
        <v>140</v>
      </c>
      <c r="X21" s="14">
        <v>74</v>
      </c>
      <c r="Y21" s="14">
        <f t="shared" si="0"/>
        <v>5384.6153846153848</v>
      </c>
      <c r="Z21" s="14">
        <v>28</v>
      </c>
      <c r="AA21" s="14">
        <v>1.4E-2</v>
      </c>
      <c r="AB21" s="21">
        <f t="shared" si="2"/>
        <v>14</v>
      </c>
      <c r="AC21" s="14">
        <v>0.5</v>
      </c>
      <c r="AD21" s="14">
        <v>14</v>
      </c>
      <c r="AE21" s="14">
        <v>120</v>
      </c>
      <c r="AF21" s="14">
        <f t="shared" si="3"/>
        <v>134</v>
      </c>
      <c r="AG21" s="16">
        <v>4375</v>
      </c>
      <c r="AH21" s="27">
        <v>4615.3846153846152</v>
      </c>
    </row>
    <row r="22" spans="1:34">
      <c r="A22" s="26">
        <v>2018</v>
      </c>
      <c r="B22" s="14" t="s">
        <v>3</v>
      </c>
      <c r="C22" s="14" t="s">
        <v>55</v>
      </c>
      <c r="D22" s="14" t="s">
        <v>4</v>
      </c>
      <c r="E22" s="14" t="s">
        <v>61</v>
      </c>
      <c r="F22" s="14" t="s">
        <v>62</v>
      </c>
      <c r="G22" s="14" t="s">
        <v>73</v>
      </c>
      <c r="H22" s="14" t="s">
        <v>63</v>
      </c>
      <c r="I22" s="15">
        <v>0.83</v>
      </c>
      <c r="J22" s="14">
        <v>15.4</v>
      </c>
      <c r="K22" s="14">
        <v>7.7</v>
      </c>
      <c r="L22" s="14" t="s">
        <v>5</v>
      </c>
      <c r="M22" s="14">
        <v>2.2999999999999998</v>
      </c>
      <c r="N22" s="14">
        <v>10.8</v>
      </c>
      <c r="O22" s="14">
        <v>10.3</v>
      </c>
      <c r="P22" s="14">
        <v>0.06</v>
      </c>
      <c r="Q22" s="14">
        <v>1</v>
      </c>
      <c r="R22" s="14">
        <v>3</v>
      </c>
      <c r="S22" s="14">
        <v>1.9</v>
      </c>
      <c r="T22" s="14">
        <v>1.5E-3</v>
      </c>
      <c r="U22" s="14">
        <v>1.0999999999999999E-2</v>
      </c>
      <c r="V22" s="14">
        <v>11</v>
      </c>
      <c r="W22" s="14">
        <v>130</v>
      </c>
      <c r="X22" s="14">
        <v>66</v>
      </c>
      <c r="Y22" s="14">
        <f t="shared" si="0"/>
        <v>11818.181818181818</v>
      </c>
      <c r="Z22" s="14">
        <v>20</v>
      </c>
      <c r="AA22" s="14">
        <v>1.2E-2</v>
      </c>
      <c r="AB22" s="21">
        <f t="shared" si="2"/>
        <v>12</v>
      </c>
      <c r="AC22" s="14">
        <v>0.6</v>
      </c>
      <c r="AD22" s="14">
        <v>6.5</v>
      </c>
      <c r="AE22" s="14">
        <v>78</v>
      </c>
      <c r="AF22" s="14">
        <f t="shared" si="3"/>
        <v>84.5</v>
      </c>
      <c r="AG22" s="16">
        <v>4333.333333333333</v>
      </c>
      <c r="AH22" s="27">
        <v>7090.909090909091</v>
      </c>
    </row>
    <row r="23" spans="1:34">
      <c r="A23" s="26">
        <v>2019</v>
      </c>
      <c r="B23" s="14" t="s">
        <v>1</v>
      </c>
      <c r="C23" s="14" t="s">
        <v>55</v>
      </c>
      <c r="D23" s="14" t="s">
        <v>4</v>
      </c>
      <c r="E23" s="14" t="s">
        <v>61</v>
      </c>
      <c r="F23" s="14" t="s">
        <v>62</v>
      </c>
      <c r="G23" s="14" t="s">
        <v>73</v>
      </c>
      <c r="H23" s="14" t="s">
        <v>63</v>
      </c>
      <c r="I23" s="15">
        <v>0.82</v>
      </c>
      <c r="J23" s="14">
        <v>16.899999999999999</v>
      </c>
      <c r="K23" s="14">
        <v>7.3</v>
      </c>
      <c r="L23" s="14">
        <v>0.9</v>
      </c>
      <c r="M23" s="14">
        <v>4.0999999999999996</v>
      </c>
      <c r="N23" s="14">
        <v>9.8000000000000007</v>
      </c>
      <c r="O23" s="14">
        <v>12.1</v>
      </c>
      <c r="P23" s="14">
        <v>0.06</v>
      </c>
      <c r="Q23" s="14">
        <v>1.4</v>
      </c>
      <c r="R23" s="14">
        <v>6</v>
      </c>
      <c r="S23" s="14">
        <v>2.8</v>
      </c>
      <c r="T23" s="14">
        <v>1.6000000000000001E-3</v>
      </c>
      <c r="U23" s="14">
        <v>0.02</v>
      </c>
      <c r="V23" s="14">
        <v>20</v>
      </c>
      <c r="W23" s="14">
        <v>250</v>
      </c>
      <c r="X23" s="14">
        <v>65</v>
      </c>
      <c r="Y23" s="14">
        <f t="shared" si="0"/>
        <v>12500</v>
      </c>
      <c r="Z23" s="14">
        <v>140</v>
      </c>
      <c r="AA23" s="14">
        <v>7.0000000000000007E-2</v>
      </c>
      <c r="AB23" s="21">
        <f t="shared" si="2"/>
        <v>70</v>
      </c>
      <c r="AC23" s="14">
        <v>0.5</v>
      </c>
      <c r="AD23" s="14">
        <v>9.6999999999999993</v>
      </c>
      <c r="AE23" s="14">
        <v>130</v>
      </c>
      <c r="AF23" s="14">
        <f t="shared" si="3"/>
        <v>139.69999999999999</v>
      </c>
      <c r="AG23" s="16">
        <v>6062.4999999999991</v>
      </c>
      <c r="AH23" s="27">
        <v>6500</v>
      </c>
    </row>
    <row r="24" spans="1:34">
      <c r="A24" s="26">
        <v>2020</v>
      </c>
      <c r="B24" s="14" t="s">
        <v>1</v>
      </c>
      <c r="C24" s="14" t="s">
        <v>55</v>
      </c>
      <c r="D24" s="14" t="s">
        <v>4</v>
      </c>
      <c r="E24" s="14" t="s">
        <v>61</v>
      </c>
      <c r="F24" s="14" t="s">
        <v>62</v>
      </c>
      <c r="G24" s="14" t="s">
        <v>73</v>
      </c>
      <c r="H24" s="14" t="s">
        <v>63</v>
      </c>
      <c r="I24" s="15">
        <v>0.56000000000000005</v>
      </c>
      <c r="J24" s="14">
        <v>22.9</v>
      </c>
      <c r="K24" s="14">
        <v>7.3</v>
      </c>
      <c r="L24" s="14">
        <v>0.7</v>
      </c>
      <c r="M24" s="14">
        <v>3.2</v>
      </c>
      <c r="N24" s="14">
        <v>9.4</v>
      </c>
      <c r="O24" s="14">
        <v>13</v>
      </c>
      <c r="P24" s="14">
        <v>0.06</v>
      </c>
      <c r="Q24" s="14">
        <v>1.2</v>
      </c>
      <c r="R24" s="14">
        <v>6</v>
      </c>
      <c r="S24" s="14">
        <v>3</v>
      </c>
      <c r="T24" s="17" t="s">
        <v>11</v>
      </c>
      <c r="U24" s="14">
        <v>2.1999999999999999E-2</v>
      </c>
      <c r="V24" s="14">
        <v>5.9</v>
      </c>
      <c r="W24" s="14">
        <v>110</v>
      </c>
      <c r="X24" s="14">
        <v>70</v>
      </c>
      <c r="Y24" s="14">
        <f t="shared" si="0"/>
        <v>5000</v>
      </c>
      <c r="Z24" s="14">
        <v>24</v>
      </c>
      <c r="AA24" s="14">
        <v>2.8000000000000001E-2</v>
      </c>
      <c r="AB24" s="21">
        <f t="shared" si="2"/>
        <v>28</v>
      </c>
      <c r="AC24" s="14">
        <v>1.17</v>
      </c>
      <c r="AD24" s="14">
        <v>2.2000000000000002</v>
      </c>
      <c r="AE24" s="14">
        <v>54</v>
      </c>
      <c r="AF24" s="14">
        <f t="shared" si="3"/>
        <v>56.2</v>
      </c>
      <c r="AG24" s="18" t="s">
        <v>90</v>
      </c>
      <c r="AH24" s="27">
        <v>2454.5454545454545</v>
      </c>
    </row>
    <row r="25" spans="1:34">
      <c r="A25" s="26">
        <v>2020</v>
      </c>
      <c r="B25" s="14" t="s">
        <v>2</v>
      </c>
      <c r="C25" s="14" t="s">
        <v>55</v>
      </c>
      <c r="D25" s="14" t="s">
        <v>4</v>
      </c>
      <c r="E25" s="14" t="s">
        <v>61</v>
      </c>
      <c r="F25" s="14" t="s">
        <v>62</v>
      </c>
      <c r="G25" s="14" t="s">
        <v>73</v>
      </c>
      <c r="H25" s="14" t="s">
        <v>63</v>
      </c>
      <c r="I25" s="15">
        <v>0.6</v>
      </c>
      <c r="J25" s="14">
        <v>22.5</v>
      </c>
      <c r="K25" s="14">
        <v>7.6</v>
      </c>
      <c r="L25" s="14">
        <v>0.7</v>
      </c>
      <c r="M25" s="14">
        <v>2.9</v>
      </c>
      <c r="N25" s="14">
        <v>9.3000000000000007</v>
      </c>
      <c r="O25" s="14">
        <v>11.2</v>
      </c>
      <c r="P25" s="14">
        <v>0.06</v>
      </c>
      <c r="Q25" s="14">
        <v>1</v>
      </c>
      <c r="R25" s="14">
        <v>4</v>
      </c>
      <c r="S25" s="14">
        <v>2.8</v>
      </c>
      <c r="T25" s="17" t="s">
        <v>11</v>
      </c>
      <c r="U25" s="14">
        <v>1.2E-2</v>
      </c>
      <c r="V25" s="14">
        <v>1.9</v>
      </c>
      <c r="W25" s="14">
        <v>40</v>
      </c>
      <c r="X25" s="14">
        <v>71</v>
      </c>
      <c r="Y25" s="14">
        <f t="shared" si="0"/>
        <v>3333.3333333333335</v>
      </c>
      <c r="Z25" s="14">
        <v>11</v>
      </c>
      <c r="AA25" s="14">
        <v>1.2E-2</v>
      </c>
      <c r="AB25" s="21">
        <f t="shared" si="2"/>
        <v>12</v>
      </c>
      <c r="AC25" s="14">
        <v>1.0900000000000001</v>
      </c>
      <c r="AD25" s="17" t="s">
        <v>14</v>
      </c>
      <c r="AE25" s="14">
        <v>52</v>
      </c>
      <c r="AF25" s="14">
        <v>52</v>
      </c>
      <c r="AG25" s="18" t="s">
        <v>90</v>
      </c>
      <c r="AH25" s="27">
        <v>4333.333333333333</v>
      </c>
    </row>
    <row r="26" spans="1:34">
      <c r="A26" s="26">
        <v>2020</v>
      </c>
      <c r="B26" s="14" t="s">
        <v>6</v>
      </c>
      <c r="C26" s="14" t="s">
        <v>55</v>
      </c>
      <c r="D26" s="14" t="s">
        <v>4</v>
      </c>
      <c r="E26" s="14" t="s">
        <v>61</v>
      </c>
      <c r="F26" s="14" t="s">
        <v>62</v>
      </c>
      <c r="G26" s="14" t="s">
        <v>73</v>
      </c>
      <c r="H26" s="14" t="s">
        <v>63</v>
      </c>
      <c r="I26" s="15">
        <v>0.5</v>
      </c>
      <c r="J26" s="14">
        <v>8.1</v>
      </c>
      <c r="K26" s="14">
        <v>7.4</v>
      </c>
      <c r="L26" s="14">
        <v>0.8</v>
      </c>
      <c r="M26" s="14">
        <v>3.2</v>
      </c>
      <c r="N26" s="14">
        <v>12.5</v>
      </c>
      <c r="O26" s="14">
        <v>11.6</v>
      </c>
      <c r="P26" s="14">
        <v>0.06</v>
      </c>
      <c r="Q26" s="14">
        <v>0.8</v>
      </c>
      <c r="R26" s="14">
        <v>10</v>
      </c>
      <c r="S26" s="14">
        <v>3.8</v>
      </c>
      <c r="T26" s="14">
        <v>1.5E-3</v>
      </c>
      <c r="U26" s="14">
        <v>2.5000000000000001E-2</v>
      </c>
      <c r="V26" s="14">
        <v>20</v>
      </c>
      <c r="W26" s="14">
        <v>420</v>
      </c>
      <c r="X26" s="14">
        <v>68</v>
      </c>
      <c r="Y26" s="14">
        <f t="shared" si="0"/>
        <v>16800</v>
      </c>
      <c r="Z26" s="14">
        <v>11</v>
      </c>
      <c r="AA26" s="14">
        <v>1.0999999999999999E-2</v>
      </c>
      <c r="AB26" s="21">
        <f t="shared" si="2"/>
        <v>11</v>
      </c>
      <c r="AC26" s="14">
        <v>1</v>
      </c>
      <c r="AD26" s="17" t="s">
        <v>16</v>
      </c>
      <c r="AE26" s="14">
        <v>6.7</v>
      </c>
      <c r="AF26" s="14">
        <v>6.7</v>
      </c>
      <c r="AG26" s="18" t="s">
        <v>90</v>
      </c>
      <c r="AH26" s="27">
        <v>268</v>
      </c>
    </row>
    <row r="27" spans="1:34">
      <c r="A27" s="26">
        <v>2021</v>
      </c>
      <c r="B27" s="14" t="s">
        <v>1</v>
      </c>
      <c r="C27" s="14" t="s">
        <v>55</v>
      </c>
      <c r="D27" s="14" t="s">
        <v>4</v>
      </c>
      <c r="E27" s="14" t="s">
        <v>61</v>
      </c>
      <c r="F27" s="14" t="s">
        <v>62</v>
      </c>
      <c r="G27" s="14" t="s">
        <v>73</v>
      </c>
      <c r="H27" s="14" t="s">
        <v>63</v>
      </c>
      <c r="I27" s="15">
        <v>0.35</v>
      </c>
      <c r="J27" s="14">
        <v>19.600000000000001</v>
      </c>
      <c r="K27" s="14">
        <v>7.4</v>
      </c>
      <c r="L27" s="14">
        <v>1.5</v>
      </c>
      <c r="M27" s="14">
        <v>5.7</v>
      </c>
      <c r="N27" s="14">
        <v>9.6</v>
      </c>
      <c r="O27" s="14">
        <v>12.1</v>
      </c>
      <c r="P27" s="14">
        <v>0.06</v>
      </c>
      <c r="Q27" s="14">
        <v>2</v>
      </c>
      <c r="R27" s="14">
        <v>13</v>
      </c>
      <c r="S27" s="14">
        <v>6.7</v>
      </c>
      <c r="T27" s="17" t="s">
        <v>11</v>
      </c>
      <c r="U27" s="14">
        <v>2.9000000000000001E-2</v>
      </c>
      <c r="V27" s="14">
        <v>4.2</v>
      </c>
      <c r="W27" s="14">
        <v>100</v>
      </c>
      <c r="X27" s="14">
        <v>110</v>
      </c>
      <c r="Y27" s="14">
        <f t="shared" si="0"/>
        <v>3448.2758620689651</v>
      </c>
      <c r="Z27" s="14">
        <v>384</v>
      </c>
      <c r="AA27" s="14">
        <v>2.3E-2</v>
      </c>
      <c r="AB27" s="21">
        <f t="shared" si="2"/>
        <v>23</v>
      </c>
      <c r="AC27" s="14">
        <v>0.06</v>
      </c>
      <c r="AD27" s="14">
        <v>1.9</v>
      </c>
      <c r="AE27" s="14">
        <v>49</v>
      </c>
      <c r="AF27" s="14">
        <f>AD27+AE27</f>
        <v>50.9</v>
      </c>
      <c r="AG27" s="18" t="s">
        <v>90</v>
      </c>
      <c r="AH27" s="27">
        <v>1689.655172413793</v>
      </c>
    </row>
    <row r="28" spans="1:34">
      <c r="A28" s="26">
        <v>2021</v>
      </c>
      <c r="B28" s="14" t="s">
        <v>2</v>
      </c>
      <c r="C28" s="14" t="s">
        <v>55</v>
      </c>
      <c r="D28" s="14" t="s">
        <v>4</v>
      </c>
      <c r="E28" s="14" t="s">
        <v>61</v>
      </c>
      <c r="F28" s="14" t="s">
        <v>62</v>
      </c>
      <c r="G28" s="14" t="s">
        <v>73</v>
      </c>
      <c r="H28" s="14" t="s">
        <v>63</v>
      </c>
      <c r="I28" s="15">
        <v>0.75</v>
      </c>
      <c r="J28" s="14">
        <v>19.100000000000001</v>
      </c>
      <c r="K28" s="14">
        <v>7.5</v>
      </c>
      <c r="L28" s="14" t="s">
        <v>5</v>
      </c>
      <c r="M28" s="14">
        <v>2.9</v>
      </c>
      <c r="N28" s="14">
        <v>9.9</v>
      </c>
      <c r="O28" s="14">
        <v>9.4</v>
      </c>
      <c r="P28" s="14">
        <v>0.05</v>
      </c>
      <c r="Q28" s="14">
        <v>0.9</v>
      </c>
      <c r="R28" s="14">
        <v>4</v>
      </c>
      <c r="S28" s="14">
        <v>2</v>
      </c>
      <c r="T28" s="17" t="s">
        <v>12</v>
      </c>
      <c r="U28" s="14">
        <v>0.01</v>
      </c>
      <c r="V28" s="14">
        <v>14</v>
      </c>
      <c r="W28" s="14">
        <v>380</v>
      </c>
      <c r="X28" s="14">
        <v>140</v>
      </c>
      <c r="Y28" s="14">
        <f t="shared" si="0"/>
        <v>38000</v>
      </c>
      <c r="Z28" s="14">
        <v>59</v>
      </c>
      <c r="AA28" s="14">
        <v>4.2000000000000003E-2</v>
      </c>
      <c r="AB28" s="21">
        <f t="shared" si="2"/>
        <v>42</v>
      </c>
      <c r="AC28" s="14">
        <v>0.71</v>
      </c>
      <c r="AD28" s="14">
        <v>3.1</v>
      </c>
      <c r="AE28" s="14">
        <v>90</v>
      </c>
      <c r="AF28" s="14">
        <f>AD28+AE28</f>
        <v>93.1</v>
      </c>
      <c r="AG28" s="18" t="s">
        <v>90</v>
      </c>
      <c r="AH28" s="27">
        <v>9000</v>
      </c>
    </row>
    <row r="29" spans="1:34">
      <c r="A29" s="26">
        <v>2021</v>
      </c>
      <c r="B29" s="14" t="s">
        <v>6</v>
      </c>
      <c r="C29" s="14" t="s">
        <v>55</v>
      </c>
      <c r="D29" s="14" t="s">
        <v>4</v>
      </c>
      <c r="E29" s="14" t="s">
        <v>61</v>
      </c>
      <c r="F29" s="14" t="s">
        <v>62</v>
      </c>
      <c r="G29" s="14" t="s">
        <v>73</v>
      </c>
      <c r="H29" s="14" t="s">
        <v>63</v>
      </c>
      <c r="I29" s="15">
        <v>0.59</v>
      </c>
      <c r="J29" s="14">
        <v>7.3</v>
      </c>
      <c r="K29" s="14">
        <v>7.3</v>
      </c>
      <c r="L29" s="14" t="s">
        <v>5</v>
      </c>
      <c r="M29" s="14">
        <v>2.4</v>
      </c>
      <c r="N29" s="14">
        <v>12.1</v>
      </c>
      <c r="O29" s="14">
        <v>9.6999999999999993</v>
      </c>
      <c r="P29" s="14">
        <v>0.05</v>
      </c>
      <c r="Q29" s="14">
        <v>0.9</v>
      </c>
      <c r="R29" s="14">
        <v>1</v>
      </c>
      <c r="S29" s="14">
        <v>1.5</v>
      </c>
      <c r="T29" s="17" t="s">
        <v>12</v>
      </c>
      <c r="U29" s="14">
        <v>5.4000000000000003E-3</v>
      </c>
      <c r="V29" s="14">
        <v>2.8</v>
      </c>
      <c r="W29" s="14">
        <v>95</v>
      </c>
      <c r="X29" s="14">
        <v>120</v>
      </c>
      <c r="Y29" s="14">
        <f t="shared" si="0"/>
        <v>17592.592592592591</v>
      </c>
      <c r="Z29" s="14">
        <v>5</v>
      </c>
      <c r="AA29" s="14">
        <v>3.1E-2</v>
      </c>
      <c r="AB29" s="21">
        <f t="shared" si="2"/>
        <v>31</v>
      </c>
      <c r="AC29" s="14">
        <v>6.2</v>
      </c>
      <c r="AD29" s="17" t="s">
        <v>17</v>
      </c>
      <c r="AE29" s="14">
        <v>16</v>
      </c>
      <c r="AF29" s="14">
        <v>16</v>
      </c>
      <c r="AG29" s="18" t="s">
        <v>90</v>
      </c>
      <c r="AH29" s="27">
        <v>2962.9629629629626</v>
      </c>
    </row>
    <row r="30" spans="1:34">
      <c r="A30" s="26">
        <v>2012</v>
      </c>
      <c r="B30" s="14" t="s">
        <v>3</v>
      </c>
      <c r="C30" s="14" t="s">
        <v>55</v>
      </c>
      <c r="D30" s="14" t="s">
        <v>18</v>
      </c>
      <c r="E30" s="14" t="s">
        <v>61</v>
      </c>
      <c r="F30" s="14" t="s">
        <v>62</v>
      </c>
      <c r="G30" s="14" t="s">
        <v>73</v>
      </c>
      <c r="H30" s="14" t="s">
        <v>63</v>
      </c>
      <c r="I30" s="15">
        <v>0.5</v>
      </c>
      <c r="J30" s="14">
        <v>19</v>
      </c>
      <c r="K30" s="14">
        <v>7.6</v>
      </c>
      <c r="L30" s="14">
        <v>0.8</v>
      </c>
      <c r="M30" s="14">
        <v>3.9</v>
      </c>
      <c r="N30" s="14">
        <v>10.1</v>
      </c>
      <c r="O30" s="14">
        <v>8.9600000000000009</v>
      </c>
      <c r="P30" s="14">
        <v>0.04</v>
      </c>
      <c r="Q30" s="14">
        <v>1.3</v>
      </c>
      <c r="R30" s="14">
        <v>2</v>
      </c>
      <c r="S30" s="14">
        <v>1.4</v>
      </c>
      <c r="T30" s="14">
        <v>2.8000000000000001E-2</v>
      </c>
      <c r="U30" s="14">
        <v>4.4999999999999998E-2</v>
      </c>
      <c r="V30" s="14">
        <v>85</v>
      </c>
      <c r="W30" s="14">
        <v>140</v>
      </c>
      <c r="X30" s="14">
        <v>41</v>
      </c>
      <c r="Y30" s="14">
        <f t="shared" si="0"/>
        <v>3111.1111111111113</v>
      </c>
      <c r="Z30" s="14">
        <v>38</v>
      </c>
      <c r="AA30" s="14">
        <v>2.1999999999999999E-2</v>
      </c>
      <c r="AB30" s="21">
        <f t="shared" si="2"/>
        <v>22</v>
      </c>
      <c r="AC30" s="14">
        <v>0.57999999999999996</v>
      </c>
      <c r="AD30" s="14">
        <v>180</v>
      </c>
      <c r="AE30" s="14">
        <v>290</v>
      </c>
      <c r="AF30" s="14">
        <f t="shared" ref="AF30:AF40" si="4">AD30+AE30</f>
        <v>470</v>
      </c>
      <c r="AG30" s="16">
        <v>6428.5714285714284</v>
      </c>
      <c r="AH30" s="27">
        <v>6444.4444444444443</v>
      </c>
    </row>
    <row r="31" spans="1:34">
      <c r="A31" s="26">
        <v>2013</v>
      </c>
      <c r="B31" s="14" t="s">
        <v>1</v>
      </c>
      <c r="C31" s="14" t="s">
        <v>55</v>
      </c>
      <c r="D31" s="14" t="s">
        <v>18</v>
      </c>
      <c r="E31" s="14" t="s">
        <v>61</v>
      </c>
      <c r="F31" s="14" t="s">
        <v>62</v>
      </c>
      <c r="G31" s="14" t="s">
        <v>73</v>
      </c>
      <c r="H31" s="14" t="s">
        <v>63</v>
      </c>
      <c r="I31" s="15">
        <v>0.5</v>
      </c>
      <c r="J31" s="14">
        <v>22.3</v>
      </c>
      <c r="K31" s="14">
        <v>7.6</v>
      </c>
      <c r="L31" s="14">
        <v>0.9</v>
      </c>
      <c r="M31" s="14">
        <v>5.5</v>
      </c>
      <c r="N31" s="14">
        <v>9.5</v>
      </c>
      <c r="O31" s="14">
        <v>10.199999999999999</v>
      </c>
      <c r="P31" s="14">
        <v>0.06</v>
      </c>
      <c r="Q31" s="14">
        <v>1.9</v>
      </c>
      <c r="R31" s="14">
        <v>6</v>
      </c>
      <c r="S31" s="14">
        <v>3.8</v>
      </c>
      <c r="T31" s="14">
        <v>1.9E-2</v>
      </c>
      <c r="U31" s="14">
        <v>3.6999999999999998E-2</v>
      </c>
      <c r="V31" s="14">
        <v>52</v>
      </c>
      <c r="W31" s="14">
        <v>110</v>
      </c>
      <c r="X31" s="14">
        <v>310</v>
      </c>
      <c r="Y31" s="14">
        <f t="shared" si="0"/>
        <v>2972.9729729729729</v>
      </c>
      <c r="Z31" s="14">
        <v>7</v>
      </c>
      <c r="AA31" s="14">
        <v>1.0800000000000001E-2</v>
      </c>
      <c r="AB31" s="21">
        <f t="shared" si="2"/>
        <v>10.8</v>
      </c>
      <c r="AC31" s="14">
        <v>1.54</v>
      </c>
      <c r="AD31" s="14">
        <v>180</v>
      </c>
      <c r="AE31" s="14">
        <v>370</v>
      </c>
      <c r="AF31" s="14">
        <f t="shared" si="4"/>
        <v>550</v>
      </c>
      <c r="AG31" s="16">
        <v>9473.6842105263167</v>
      </c>
      <c r="AH31" s="27">
        <v>10000</v>
      </c>
    </row>
    <row r="32" spans="1:34">
      <c r="A32" s="26">
        <v>2013</v>
      </c>
      <c r="B32" s="14" t="s">
        <v>2</v>
      </c>
      <c r="C32" s="14" t="s">
        <v>55</v>
      </c>
      <c r="D32" s="14" t="s">
        <v>18</v>
      </c>
      <c r="E32" s="14" t="s">
        <v>61</v>
      </c>
      <c r="F32" s="14" t="s">
        <v>62</v>
      </c>
      <c r="G32" s="14" t="s">
        <v>73</v>
      </c>
      <c r="H32" s="14" t="s">
        <v>63</v>
      </c>
      <c r="I32" s="15">
        <v>0.52</v>
      </c>
      <c r="J32" s="14">
        <v>19.899999999999999</v>
      </c>
      <c r="K32" s="14">
        <v>7.4</v>
      </c>
      <c r="L32" s="14">
        <v>0.8</v>
      </c>
      <c r="M32" s="14">
        <v>4</v>
      </c>
      <c r="N32" s="14">
        <v>9.8000000000000007</v>
      </c>
      <c r="O32" s="14">
        <v>7.5</v>
      </c>
      <c r="P32" s="14">
        <v>0.04</v>
      </c>
      <c r="Q32" s="14">
        <v>1.7</v>
      </c>
      <c r="R32" s="14">
        <v>5</v>
      </c>
      <c r="S32" s="14">
        <v>2.2999999999999998</v>
      </c>
      <c r="T32" s="14">
        <v>1.7000000000000001E-2</v>
      </c>
      <c r="U32" s="14">
        <v>3.4000000000000002E-2</v>
      </c>
      <c r="V32" s="14">
        <v>120</v>
      </c>
      <c r="W32" s="14">
        <v>270</v>
      </c>
      <c r="X32" s="14">
        <v>120</v>
      </c>
      <c r="Y32" s="14">
        <f t="shared" si="0"/>
        <v>7941.1764705882351</v>
      </c>
      <c r="Z32" s="14">
        <v>21</v>
      </c>
      <c r="AA32" s="14">
        <v>1.6500000000000001E-2</v>
      </c>
      <c r="AB32" s="21">
        <f t="shared" si="2"/>
        <v>16.5</v>
      </c>
      <c r="AC32" s="14">
        <v>0.79</v>
      </c>
      <c r="AD32" s="14">
        <v>96</v>
      </c>
      <c r="AE32" s="14">
        <v>200</v>
      </c>
      <c r="AF32" s="14">
        <f t="shared" si="4"/>
        <v>296</v>
      </c>
      <c r="AG32" s="16">
        <v>5647.0588235294117</v>
      </c>
      <c r="AH32" s="27">
        <v>5882.3529411764703</v>
      </c>
    </row>
    <row r="33" spans="1:34">
      <c r="A33" s="26">
        <v>2013</v>
      </c>
      <c r="B33" s="14" t="s">
        <v>3</v>
      </c>
      <c r="C33" s="14" t="s">
        <v>55</v>
      </c>
      <c r="D33" s="14" t="s">
        <v>18</v>
      </c>
      <c r="E33" s="14" t="s">
        <v>61</v>
      </c>
      <c r="F33" s="14" t="s">
        <v>62</v>
      </c>
      <c r="G33" s="14" t="s">
        <v>73</v>
      </c>
      <c r="H33" s="14" t="s">
        <v>63</v>
      </c>
      <c r="I33" s="15">
        <v>0.6</v>
      </c>
      <c r="J33" s="14">
        <v>18.8</v>
      </c>
      <c r="K33" s="14">
        <v>7.7</v>
      </c>
      <c r="L33" s="14">
        <v>0.6</v>
      </c>
      <c r="M33" s="14">
        <v>3.1</v>
      </c>
      <c r="N33" s="14">
        <v>10.4</v>
      </c>
      <c r="O33" s="14">
        <v>8.8000000000000007</v>
      </c>
      <c r="P33" s="14">
        <v>0.05</v>
      </c>
      <c r="Q33" s="14">
        <v>1.5</v>
      </c>
      <c r="R33" s="14">
        <v>3</v>
      </c>
      <c r="S33" s="14">
        <v>2.1</v>
      </c>
      <c r="T33" s="14">
        <v>5.1000000000000004E-3</v>
      </c>
      <c r="U33" s="14">
        <v>9.9000000000000008E-3</v>
      </c>
      <c r="V33" s="14">
        <v>74</v>
      </c>
      <c r="W33" s="14">
        <v>190</v>
      </c>
      <c r="X33" s="14">
        <v>100</v>
      </c>
      <c r="Y33" s="14">
        <f t="shared" si="0"/>
        <v>19191.919191919191</v>
      </c>
      <c r="Z33" s="14">
        <v>112</v>
      </c>
      <c r="AA33" s="14">
        <v>5.67E-2</v>
      </c>
      <c r="AB33" s="21">
        <f t="shared" si="2"/>
        <v>56.7</v>
      </c>
      <c r="AC33" s="14">
        <v>0.51</v>
      </c>
      <c r="AD33" s="14">
        <v>92</v>
      </c>
      <c r="AE33" s="14">
        <v>210</v>
      </c>
      <c r="AF33" s="14">
        <f t="shared" si="4"/>
        <v>302</v>
      </c>
      <c r="AG33" s="16">
        <v>18039.215686274507</v>
      </c>
      <c r="AH33" s="27">
        <v>21212.121212121212</v>
      </c>
    </row>
    <row r="34" spans="1:34">
      <c r="A34" s="26">
        <v>2014</v>
      </c>
      <c r="B34" s="14" t="s">
        <v>1</v>
      </c>
      <c r="C34" s="14" t="s">
        <v>55</v>
      </c>
      <c r="D34" s="14" t="s">
        <v>18</v>
      </c>
      <c r="E34" s="14" t="s">
        <v>61</v>
      </c>
      <c r="F34" s="14" t="s">
        <v>62</v>
      </c>
      <c r="G34" s="14" t="s">
        <v>73</v>
      </c>
      <c r="H34" s="14" t="s">
        <v>63</v>
      </c>
      <c r="I34" s="15">
        <v>0.42</v>
      </c>
      <c r="J34" s="14">
        <v>19.2</v>
      </c>
      <c r="K34" s="14">
        <v>7.6</v>
      </c>
      <c r="L34" s="14">
        <v>0.7</v>
      </c>
      <c r="M34" s="14">
        <v>3</v>
      </c>
      <c r="N34" s="14">
        <v>9.9</v>
      </c>
      <c r="O34" s="14">
        <v>8</v>
      </c>
      <c r="P34" s="14">
        <v>4.8000000000000001E-2</v>
      </c>
      <c r="Q34" s="14">
        <v>1.2</v>
      </c>
      <c r="R34" s="14">
        <v>4</v>
      </c>
      <c r="S34" s="14">
        <v>2.2999999999999998</v>
      </c>
      <c r="T34" s="14">
        <v>6.0000000000000001E-3</v>
      </c>
      <c r="U34" s="14">
        <v>1.4999999999999999E-2</v>
      </c>
      <c r="V34" s="14">
        <v>37</v>
      </c>
      <c r="W34" s="14">
        <v>120</v>
      </c>
      <c r="X34" s="14">
        <v>150</v>
      </c>
      <c r="Y34" s="14">
        <f t="shared" si="0"/>
        <v>8000</v>
      </c>
      <c r="Z34" s="14">
        <v>23</v>
      </c>
      <c r="AA34" s="14">
        <v>3.6999999999999998E-2</v>
      </c>
      <c r="AB34" s="21">
        <f t="shared" si="2"/>
        <v>37</v>
      </c>
      <c r="AC34" s="14">
        <v>1.61</v>
      </c>
      <c r="AD34" s="14">
        <v>64</v>
      </c>
      <c r="AE34" s="14">
        <v>190</v>
      </c>
      <c r="AF34" s="14">
        <f t="shared" si="4"/>
        <v>254</v>
      </c>
      <c r="AG34" s="16">
        <v>10666.666666666666</v>
      </c>
      <c r="AH34" s="27">
        <v>12666.666666666668</v>
      </c>
    </row>
    <row r="35" spans="1:34">
      <c r="A35" s="26">
        <v>2014</v>
      </c>
      <c r="B35" s="14" t="s">
        <v>2</v>
      </c>
      <c r="C35" s="14" t="s">
        <v>55</v>
      </c>
      <c r="D35" s="14" t="s">
        <v>18</v>
      </c>
      <c r="E35" s="14" t="s">
        <v>61</v>
      </c>
      <c r="F35" s="14" t="s">
        <v>62</v>
      </c>
      <c r="G35" s="14" t="s">
        <v>73</v>
      </c>
      <c r="H35" s="14" t="s">
        <v>63</v>
      </c>
      <c r="I35" s="15">
        <v>0.61</v>
      </c>
      <c r="J35" s="14">
        <v>20.5</v>
      </c>
      <c r="K35" s="14">
        <v>7.5</v>
      </c>
      <c r="L35" s="14">
        <v>0.6</v>
      </c>
      <c r="M35" s="14">
        <v>4.5</v>
      </c>
      <c r="N35" s="14">
        <v>9.4</v>
      </c>
      <c r="O35" s="14">
        <v>8.1999999999999993</v>
      </c>
      <c r="P35" s="14">
        <v>0.05</v>
      </c>
      <c r="Q35" s="14">
        <v>1.7</v>
      </c>
      <c r="R35" s="14">
        <v>4</v>
      </c>
      <c r="S35" s="14">
        <v>1.9</v>
      </c>
      <c r="T35" s="14">
        <v>1.7000000000000001E-2</v>
      </c>
      <c r="U35" s="14">
        <v>4.9000000000000002E-2</v>
      </c>
      <c r="V35" s="14">
        <v>66</v>
      </c>
      <c r="W35" s="14">
        <v>180</v>
      </c>
      <c r="X35" s="14">
        <v>110</v>
      </c>
      <c r="Y35" s="14">
        <f t="shared" si="0"/>
        <v>3673.4693877551017</v>
      </c>
      <c r="Z35" s="14">
        <v>42</v>
      </c>
      <c r="AA35" s="14">
        <v>2.8399999999999998E-2</v>
      </c>
      <c r="AB35" s="21">
        <f t="shared" si="2"/>
        <v>28.4</v>
      </c>
      <c r="AC35" s="14">
        <v>0.68</v>
      </c>
      <c r="AD35" s="14">
        <v>68</v>
      </c>
      <c r="AE35" s="14">
        <v>200</v>
      </c>
      <c r="AF35" s="14">
        <f t="shared" si="4"/>
        <v>268</v>
      </c>
      <c r="AG35" s="16">
        <v>3999.9999999999995</v>
      </c>
      <c r="AH35" s="27">
        <v>4081.6326530612241</v>
      </c>
    </row>
    <row r="36" spans="1:34">
      <c r="A36" s="26">
        <v>2014</v>
      </c>
      <c r="B36" s="14" t="s">
        <v>3</v>
      </c>
      <c r="C36" s="14" t="s">
        <v>55</v>
      </c>
      <c r="D36" s="14" t="s">
        <v>18</v>
      </c>
      <c r="E36" s="14" t="s">
        <v>61</v>
      </c>
      <c r="F36" s="14" t="s">
        <v>62</v>
      </c>
      <c r="G36" s="14" t="s">
        <v>73</v>
      </c>
      <c r="H36" s="14" t="s">
        <v>63</v>
      </c>
      <c r="I36" s="15">
        <v>0.61</v>
      </c>
      <c r="J36" s="14">
        <v>11.2</v>
      </c>
      <c r="K36" s="14">
        <v>7.5</v>
      </c>
      <c r="L36" s="14" t="s">
        <v>7</v>
      </c>
      <c r="M36" s="14">
        <v>2.1</v>
      </c>
      <c r="N36" s="14">
        <v>11</v>
      </c>
      <c r="O36" s="14">
        <v>9</v>
      </c>
      <c r="P36" s="14">
        <v>0.05</v>
      </c>
      <c r="Q36" s="14">
        <v>1.1000000000000001</v>
      </c>
      <c r="R36" s="14">
        <v>2</v>
      </c>
      <c r="S36" s="14">
        <v>1.6</v>
      </c>
      <c r="T36" s="14">
        <v>6.3E-3</v>
      </c>
      <c r="U36" s="14">
        <v>1.7000000000000001E-2</v>
      </c>
      <c r="V36" s="14">
        <v>40</v>
      </c>
      <c r="W36" s="14">
        <v>120</v>
      </c>
      <c r="X36" s="14">
        <v>92</v>
      </c>
      <c r="Y36" s="14">
        <f t="shared" si="0"/>
        <v>7058.823529411764</v>
      </c>
      <c r="Z36" s="14">
        <v>22</v>
      </c>
      <c r="AA36" s="14">
        <v>1.54E-2</v>
      </c>
      <c r="AB36" s="21">
        <f t="shared" si="2"/>
        <v>15.4</v>
      </c>
      <c r="AC36" s="14">
        <v>0.70000000000000007</v>
      </c>
      <c r="AD36" s="14">
        <v>43</v>
      </c>
      <c r="AE36" s="14">
        <v>120</v>
      </c>
      <c r="AF36" s="14">
        <f t="shared" si="4"/>
        <v>163</v>
      </c>
      <c r="AG36" s="16">
        <v>6825.3968253968251</v>
      </c>
      <c r="AH36" s="27">
        <v>7058.823529411764</v>
      </c>
    </row>
    <row r="37" spans="1:34">
      <c r="A37" s="26">
        <v>2014</v>
      </c>
      <c r="B37" s="14" t="s">
        <v>6</v>
      </c>
      <c r="C37" s="14" t="s">
        <v>55</v>
      </c>
      <c r="D37" s="14" t="s">
        <v>18</v>
      </c>
      <c r="E37" s="14" t="s">
        <v>61</v>
      </c>
      <c r="F37" s="14" t="s">
        <v>62</v>
      </c>
      <c r="G37" s="14" t="s">
        <v>73</v>
      </c>
      <c r="H37" s="14" t="s">
        <v>63</v>
      </c>
      <c r="I37" s="15">
        <v>0.64</v>
      </c>
      <c r="J37" s="14">
        <v>8.4</v>
      </c>
      <c r="K37" s="14">
        <v>7.6</v>
      </c>
      <c r="L37" s="14">
        <v>0.5</v>
      </c>
      <c r="M37" s="14">
        <v>3.4</v>
      </c>
      <c r="N37" s="14">
        <v>12.2</v>
      </c>
      <c r="O37" s="14">
        <v>7.9</v>
      </c>
      <c r="P37" s="14">
        <v>0.05</v>
      </c>
      <c r="Q37" s="14">
        <v>1.5</v>
      </c>
      <c r="R37" s="14">
        <v>3</v>
      </c>
      <c r="S37" s="14">
        <v>1.6</v>
      </c>
      <c r="T37" s="14">
        <v>4.3E-3</v>
      </c>
      <c r="U37" s="14">
        <v>1.4E-2</v>
      </c>
      <c r="V37" s="14">
        <v>90</v>
      </c>
      <c r="W37" s="14">
        <v>310</v>
      </c>
      <c r="X37" s="14">
        <v>68</v>
      </c>
      <c r="Y37" s="14">
        <f t="shared" si="0"/>
        <v>22142.857142857141</v>
      </c>
      <c r="Z37" s="14">
        <v>32</v>
      </c>
      <c r="AA37" s="14">
        <v>2.5600000000000001E-2</v>
      </c>
      <c r="AB37" s="21">
        <f t="shared" si="2"/>
        <v>25.6</v>
      </c>
      <c r="AC37" s="14">
        <v>0.8</v>
      </c>
      <c r="AD37" s="14">
        <v>24</v>
      </c>
      <c r="AE37" s="14">
        <v>75</v>
      </c>
      <c r="AF37" s="14">
        <f t="shared" si="4"/>
        <v>99</v>
      </c>
      <c r="AG37" s="16">
        <v>5581.395348837209</v>
      </c>
      <c r="AH37" s="27">
        <v>5357.1428571428569</v>
      </c>
    </row>
    <row r="38" spans="1:34">
      <c r="A38" s="26">
        <v>2015</v>
      </c>
      <c r="B38" s="14" t="s">
        <v>2</v>
      </c>
      <c r="C38" s="14" t="s">
        <v>55</v>
      </c>
      <c r="D38" s="14" t="s">
        <v>18</v>
      </c>
      <c r="E38" s="14" t="s">
        <v>61</v>
      </c>
      <c r="F38" s="14" t="s">
        <v>62</v>
      </c>
      <c r="G38" s="14" t="s">
        <v>73</v>
      </c>
      <c r="H38" s="14" t="s">
        <v>63</v>
      </c>
      <c r="I38" s="15">
        <v>0.28000000000000003</v>
      </c>
      <c r="J38" s="14">
        <v>22</v>
      </c>
      <c r="K38" s="14">
        <v>7.6</v>
      </c>
      <c r="L38" s="14">
        <v>0.6</v>
      </c>
      <c r="M38" s="14">
        <v>3.7</v>
      </c>
      <c r="N38" s="14">
        <v>8.5</v>
      </c>
      <c r="O38" s="14">
        <v>10.8</v>
      </c>
      <c r="P38" s="14">
        <v>0.06</v>
      </c>
      <c r="Q38" s="14">
        <v>1.8</v>
      </c>
      <c r="R38" s="14">
        <v>5</v>
      </c>
      <c r="S38" s="14">
        <v>4.4000000000000004</v>
      </c>
      <c r="T38" s="14">
        <v>4.8999999999999998E-3</v>
      </c>
      <c r="U38" s="14">
        <v>0.02</v>
      </c>
      <c r="V38" s="14">
        <v>21</v>
      </c>
      <c r="W38" s="14">
        <v>91</v>
      </c>
      <c r="X38" s="14">
        <v>97</v>
      </c>
      <c r="Y38" s="14">
        <f t="shared" si="0"/>
        <v>4550</v>
      </c>
      <c r="Z38" s="14">
        <v>24</v>
      </c>
      <c r="AA38" s="14">
        <v>1.0999999999999999E-2</v>
      </c>
      <c r="AB38" s="21">
        <f t="shared" si="2"/>
        <v>11</v>
      </c>
      <c r="AC38" s="14">
        <v>0.46</v>
      </c>
      <c r="AD38" s="14">
        <v>23</v>
      </c>
      <c r="AE38" s="14">
        <v>88</v>
      </c>
      <c r="AF38" s="14">
        <f t="shared" si="4"/>
        <v>111</v>
      </c>
      <c r="AG38" s="16">
        <v>4693.8775510204086</v>
      </c>
      <c r="AH38" s="27">
        <v>4400</v>
      </c>
    </row>
    <row r="39" spans="1:34">
      <c r="A39" s="26">
        <v>2016</v>
      </c>
      <c r="B39" s="14" t="s">
        <v>1</v>
      </c>
      <c r="C39" s="14" t="s">
        <v>55</v>
      </c>
      <c r="D39" s="14" t="s">
        <v>18</v>
      </c>
      <c r="E39" s="14" t="s">
        <v>61</v>
      </c>
      <c r="F39" s="14" t="s">
        <v>62</v>
      </c>
      <c r="G39" s="14" t="s">
        <v>73</v>
      </c>
      <c r="H39" s="14" t="s">
        <v>63</v>
      </c>
      <c r="I39" s="15">
        <v>0.38</v>
      </c>
      <c r="J39" s="14">
        <v>19.600000000000001</v>
      </c>
      <c r="K39" s="14">
        <v>7.7</v>
      </c>
      <c r="L39" s="14">
        <v>0.7</v>
      </c>
      <c r="M39" s="14">
        <v>3.4</v>
      </c>
      <c r="N39" s="14">
        <v>10</v>
      </c>
      <c r="O39" s="14">
        <v>8.9</v>
      </c>
      <c r="P39" s="14">
        <v>0.05</v>
      </c>
      <c r="Q39" s="14">
        <v>1.1000000000000001</v>
      </c>
      <c r="R39" s="14">
        <v>3</v>
      </c>
      <c r="S39" s="14">
        <v>2.7</v>
      </c>
      <c r="T39" s="14">
        <v>1.7000000000000001E-2</v>
      </c>
      <c r="U39" s="14">
        <v>8.2000000000000003E-2</v>
      </c>
      <c r="V39" s="14">
        <v>41</v>
      </c>
      <c r="W39" s="14">
        <v>200</v>
      </c>
      <c r="X39" s="14">
        <v>160</v>
      </c>
      <c r="Y39" s="14">
        <f t="shared" ref="Y39:Y70" si="5">W39/U39</f>
        <v>2439.0243902439024</v>
      </c>
      <c r="Z39" s="14">
        <v>10</v>
      </c>
      <c r="AA39" s="14">
        <v>0.03</v>
      </c>
      <c r="AB39" s="21">
        <f t="shared" si="2"/>
        <v>30</v>
      </c>
      <c r="AC39" s="14">
        <v>3</v>
      </c>
      <c r="AD39" s="14">
        <v>9.1</v>
      </c>
      <c r="AE39" s="14">
        <v>41</v>
      </c>
      <c r="AF39" s="14">
        <f t="shared" si="4"/>
        <v>50.1</v>
      </c>
      <c r="AG39" s="16">
        <v>535.29411764705878</v>
      </c>
      <c r="AH39" s="27">
        <v>500</v>
      </c>
    </row>
    <row r="40" spans="1:34">
      <c r="A40" s="26">
        <v>2016</v>
      </c>
      <c r="B40" s="14" t="s">
        <v>3</v>
      </c>
      <c r="C40" s="14" t="s">
        <v>55</v>
      </c>
      <c r="D40" s="14" t="s">
        <v>18</v>
      </c>
      <c r="E40" s="14" t="s">
        <v>61</v>
      </c>
      <c r="F40" s="14" t="s">
        <v>62</v>
      </c>
      <c r="G40" s="14" t="s">
        <v>73</v>
      </c>
      <c r="H40" s="14" t="s">
        <v>63</v>
      </c>
      <c r="I40" s="15">
        <v>0.5</v>
      </c>
      <c r="J40" s="14">
        <v>16.399999999999999</v>
      </c>
      <c r="K40" s="14">
        <v>7.7</v>
      </c>
      <c r="L40" s="14">
        <v>0.7</v>
      </c>
      <c r="M40" s="14">
        <v>3.5</v>
      </c>
      <c r="N40" s="14">
        <v>10.199999999999999</v>
      </c>
      <c r="O40" s="14">
        <v>8.3000000000000007</v>
      </c>
      <c r="P40" s="14">
        <v>0.04</v>
      </c>
      <c r="Q40" s="14">
        <v>1.5</v>
      </c>
      <c r="R40" s="14">
        <v>3</v>
      </c>
      <c r="S40" s="14">
        <v>3.3</v>
      </c>
      <c r="T40" s="14">
        <v>1.2999999999999999E-3</v>
      </c>
      <c r="U40" s="14">
        <v>6.4999999999999997E-3</v>
      </c>
      <c r="V40" s="14">
        <v>20</v>
      </c>
      <c r="W40" s="14">
        <v>99</v>
      </c>
      <c r="X40" s="14">
        <v>100</v>
      </c>
      <c r="Y40" s="14">
        <f t="shared" si="5"/>
        <v>15230.769230769232</v>
      </c>
      <c r="Z40" s="14">
        <v>27</v>
      </c>
      <c r="AA40" s="14">
        <v>3.5999999999999997E-2</v>
      </c>
      <c r="AB40" s="21">
        <f t="shared" si="2"/>
        <v>36</v>
      </c>
      <c r="AC40" s="14">
        <v>1.33</v>
      </c>
      <c r="AD40" s="14">
        <v>6</v>
      </c>
      <c r="AE40" s="14">
        <v>40</v>
      </c>
      <c r="AF40" s="14">
        <f t="shared" si="4"/>
        <v>46</v>
      </c>
      <c r="AG40" s="16">
        <v>4615.3846153846152</v>
      </c>
      <c r="AH40" s="27">
        <v>6153.8461538461543</v>
      </c>
    </row>
    <row r="41" spans="1:34">
      <c r="A41" s="26">
        <v>2016</v>
      </c>
      <c r="B41" s="14" t="s">
        <v>6</v>
      </c>
      <c r="C41" s="14" t="s">
        <v>55</v>
      </c>
      <c r="D41" s="14" t="s">
        <v>18</v>
      </c>
      <c r="E41" s="14" t="s">
        <v>61</v>
      </c>
      <c r="F41" s="14" t="s">
        <v>62</v>
      </c>
      <c r="G41" s="14" t="s">
        <v>73</v>
      </c>
      <c r="H41" s="14" t="s">
        <v>63</v>
      </c>
      <c r="I41" s="15">
        <v>0.4</v>
      </c>
      <c r="J41" s="14">
        <v>9</v>
      </c>
      <c r="K41" s="14">
        <v>7.6</v>
      </c>
      <c r="L41" s="14">
        <v>0.6</v>
      </c>
      <c r="M41" s="14">
        <v>2.7</v>
      </c>
      <c r="N41" s="14">
        <v>11.8</v>
      </c>
      <c r="O41" s="14">
        <v>8.3000000000000007</v>
      </c>
      <c r="P41" s="14">
        <v>0.04</v>
      </c>
      <c r="Q41" s="14">
        <v>1.2</v>
      </c>
      <c r="R41" s="14">
        <v>2</v>
      </c>
      <c r="S41" s="14">
        <v>2.2000000000000002</v>
      </c>
      <c r="T41" s="14">
        <v>2.3E-3</v>
      </c>
      <c r="U41" s="14">
        <v>1.0999999999999999E-2</v>
      </c>
      <c r="V41" s="14">
        <v>28</v>
      </c>
      <c r="W41" s="14">
        <v>150</v>
      </c>
      <c r="X41" s="14">
        <v>110</v>
      </c>
      <c r="Y41" s="14">
        <f t="shared" si="5"/>
        <v>13636.363636363638</v>
      </c>
      <c r="Z41" s="14">
        <v>2</v>
      </c>
      <c r="AA41" s="14">
        <v>6.7999999999999996E-3</v>
      </c>
      <c r="AB41" s="21">
        <f t="shared" si="2"/>
        <v>6.8</v>
      </c>
      <c r="AC41" s="14">
        <v>3.4</v>
      </c>
      <c r="AD41" s="17" t="s">
        <v>19</v>
      </c>
      <c r="AE41" s="14">
        <v>5.2</v>
      </c>
      <c r="AF41" s="14">
        <v>5.2</v>
      </c>
      <c r="AG41" s="18" t="s">
        <v>90</v>
      </c>
      <c r="AH41" s="27">
        <v>472.72727272727275</v>
      </c>
    </row>
    <row r="42" spans="1:34">
      <c r="A42" s="26">
        <v>2017</v>
      </c>
      <c r="B42" s="14" t="s">
        <v>2</v>
      </c>
      <c r="C42" s="14" t="s">
        <v>55</v>
      </c>
      <c r="D42" s="14" t="s">
        <v>18</v>
      </c>
      <c r="E42" s="14" t="s">
        <v>61</v>
      </c>
      <c r="F42" s="14" t="s">
        <v>62</v>
      </c>
      <c r="G42" s="14" t="s">
        <v>73</v>
      </c>
      <c r="H42" s="14" t="s">
        <v>63</v>
      </c>
      <c r="I42" s="15">
        <v>0.45</v>
      </c>
      <c r="J42" s="14">
        <v>19.100000000000001</v>
      </c>
      <c r="K42" s="14">
        <v>7.4</v>
      </c>
      <c r="L42" s="14" t="s">
        <v>5</v>
      </c>
      <c r="M42" s="14">
        <v>3.5</v>
      </c>
      <c r="N42" s="14">
        <v>10</v>
      </c>
      <c r="O42" s="14">
        <v>8.1999999999999993</v>
      </c>
      <c r="P42" s="14">
        <v>0.05</v>
      </c>
      <c r="Q42" s="14">
        <v>1.4</v>
      </c>
      <c r="R42" s="14">
        <v>4</v>
      </c>
      <c r="S42" s="14">
        <v>1.8</v>
      </c>
      <c r="T42" s="14">
        <v>2E-3</v>
      </c>
      <c r="U42" s="14">
        <v>1.6E-2</v>
      </c>
      <c r="V42" s="14">
        <v>10</v>
      </c>
      <c r="W42" s="14">
        <v>85</v>
      </c>
      <c r="X42" s="14">
        <v>52</v>
      </c>
      <c r="Y42" s="14">
        <f t="shared" si="5"/>
        <v>5312.5</v>
      </c>
      <c r="Z42" s="14">
        <v>9</v>
      </c>
      <c r="AA42" s="14">
        <v>9.1999999999999998E-3</v>
      </c>
      <c r="AB42" s="21">
        <f t="shared" si="2"/>
        <v>9.1999999999999993</v>
      </c>
      <c r="AC42" s="14">
        <v>1.02</v>
      </c>
      <c r="AD42" s="14">
        <v>7.9</v>
      </c>
      <c r="AE42" s="14">
        <v>51</v>
      </c>
      <c r="AF42" s="14">
        <f t="shared" ref="AF42:AF50" si="6">AD42+AE42</f>
        <v>58.9</v>
      </c>
      <c r="AG42" s="16">
        <v>3950</v>
      </c>
      <c r="AH42" s="27">
        <v>3187.5</v>
      </c>
    </row>
    <row r="43" spans="1:34">
      <c r="A43" s="26">
        <v>2018</v>
      </c>
      <c r="B43" s="14" t="s">
        <v>1</v>
      </c>
      <c r="C43" s="14" t="s">
        <v>55</v>
      </c>
      <c r="D43" s="14" t="s">
        <v>18</v>
      </c>
      <c r="E43" s="14" t="s">
        <v>61</v>
      </c>
      <c r="F43" s="14" t="s">
        <v>62</v>
      </c>
      <c r="G43" s="14" t="s">
        <v>73</v>
      </c>
      <c r="H43" s="14" t="s">
        <v>63</v>
      </c>
      <c r="I43" s="15">
        <v>0.81</v>
      </c>
      <c r="J43" s="14">
        <v>19.5</v>
      </c>
      <c r="K43" s="14">
        <v>7.4</v>
      </c>
      <c r="L43" s="14">
        <v>0.9</v>
      </c>
      <c r="M43" s="14">
        <v>3</v>
      </c>
      <c r="N43" s="14">
        <v>10.199999999999999</v>
      </c>
      <c r="O43" s="14">
        <v>5.6</v>
      </c>
      <c r="P43" s="14">
        <v>0.03</v>
      </c>
      <c r="Q43" s="14">
        <v>1.1000000000000001</v>
      </c>
      <c r="R43" s="14">
        <v>8</v>
      </c>
      <c r="S43" s="14">
        <v>2.9</v>
      </c>
      <c r="T43" s="17" t="s">
        <v>11</v>
      </c>
      <c r="U43" s="14">
        <v>9.5999999999999992E-3</v>
      </c>
      <c r="V43" s="14">
        <v>9</v>
      </c>
      <c r="W43" s="14">
        <v>91</v>
      </c>
      <c r="X43" s="14">
        <v>36</v>
      </c>
      <c r="Y43" s="14">
        <f t="shared" si="5"/>
        <v>9479.1666666666679</v>
      </c>
      <c r="Z43" s="14">
        <v>8</v>
      </c>
      <c r="AA43" s="14">
        <v>1.0999999999999999E-2</v>
      </c>
      <c r="AB43" s="21">
        <f t="shared" si="2"/>
        <v>11</v>
      </c>
      <c r="AC43" s="14">
        <v>1.38</v>
      </c>
      <c r="AD43" s="14">
        <v>8.8000000000000007</v>
      </c>
      <c r="AE43" s="14">
        <v>74</v>
      </c>
      <c r="AF43" s="14">
        <f t="shared" si="6"/>
        <v>82.8</v>
      </c>
      <c r="AG43" s="18" t="s">
        <v>90</v>
      </c>
      <c r="AH43" s="27">
        <v>7708.3333333333339</v>
      </c>
    </row>
    <row r="44" spans="1:34">
      <c r="A44" s="26">
        <v>2019</v>
      </c>
      <c r="B44" s="14" t="s">
        <v>1</v>
      </c>
      <c r="C44" s="14" t="s">
        <v>55</v>
      </c>
      <c r="D44" s="14" t="s">
        <v>18</v>
      </c>
      <c r="E44" s="14" t="s">
        <v>61</v>
      </c>
      <c r="F44" s="14" t="s">
        <v>62</v>
      </c>
      <c r="G44" s="14" t="s">
        <v>73</v>
      </c>
      <c r="H44" s="14" t="s">
        <v>63</v>
      </c>
      <c r="I44" s="15">
        <v>0.7</v>
      </c>
      <c r="J44" s="14">
        <v>15.8</v>
      </c>
      <c r="K44" s="14">
        <v>7.3</v>
      </c>
      <c r="L44" s="14">
        <v>0.8</v>
      </c>
      <c r="M44" s="14">
        <v>3.3</v>
      </c>
      <c r="N44" s="14">
        <v>10.1</v>
      </c>
      <c r="O44" s="14">
        <v>8</v>
      </c>
      <c r="P44" s="14">
        <v>0.04</v>
      </c>
      <c r="Q44" s="14">
        <v>1.2</v>
      </c>
      <c r="R44" s="14">
        <v>4</v>
      </c>
      <c r="S44" s="14">
        <v>2.2999999999999998</v>
      </c>
      <c r="T44" s="17" t="s">
        <v>20</v>
      </c>
      <c r="U44" s="14">
        <v>9.4999999999999998E-3</v>
      </c>
      <c r="V44" s="14">
        <v>9.3000000000000007</v>
      </c>
      <c r="W44" s="14">
        <v>140</v>
      </c>
      <c r="X44" s="14">
        <f>38+9.8</f>
        <v>47.8</v>
      </c>
      <c r="Y44" s="14">
        <f t="shared" si="5"/>
        <v>14736.842105263158</v>
      </c>
      <c r="Z44" s="14">
        <v>14</v>
      </c>
      <c r="AA44" s="14">
        <v>1.7999999999999999E-2</v>
      </c>
      <c r="AB44" s="21">
        <f t="shared" si="2"/>
        <v>18</v>
      </c>
      <c r="AC44" s="14">
        <v>1.29</v>
      </c>
      <c r="AD44" s="14">
        <v>5.7</v>
      </c>
      <c r="AE44" s="14">
        <v>66</v>
      </c>
      <c r="AF44" s="14">
        <f t="shared" si="6"/>
        <v>71.7</v>
      </c>
      <c r="AG44" s="18" t="s">
        <v>90</v>
      </c>
      <c r="AH44" s="27">
        <v>6947.3684210526317</v>
      </c>
    </row>
    <row r="45" spans="1:34">
      <c r="A45" s="26">
        <v>2020</v>
      </c>
      <c r="B45" s="14" t="s">
        <v>2</v>
      </c>
      <c r="C45" s="14" t="s">
        <v>55</v>
      </c>
      <c r="D45" s="14" t="s">
        <v>18</v>
      </c>
      <c r="E45" s="14" t="s">
        <v>61</v>
      </c>
      <c r="F45" s="14" t="s">
        <v>62</v>
      </c>
      <c r="G45" s="14" t="s">
        <v>73</v>
      </c>
      <c r="H45" s="14" t="s">
        <v>63</v>
      </c>
      <c r="I45" s="15">
        <v>0.5</v>
      </c>
      <c r="J45" s="14">
        <v>25.2</v>
      </c>
      <c r="K45" s="14">
        <v>8.1</v>
      </c>
      <c r="L45" s="14">
        <v>0.7</v>
      </c>
      <c r="M45" s="14">
        <v>3.5</v>
      </c>
      <c r="N45" s="14">
        <v>10.199999999999999</v>
      </c>
      <c r="O45" s="14">
        <v>8.9</v>
      </c>
      <c r="P45" s="14">
        <v>0.05</v>
      </c>
      <c r="Q45" s="14">
        <v>1.4</v>
      </c>
      <c r="R45" s="14">
        <v>3</v>
      </c>
      <c r="S45" s="14">
        <v>1.9</v>
      </c>
      <c r="T45" s="17" t="s">
        <v>11</v>
      </c>
      <c r="U45" s="14">
        <v>4.1999999999999997E-3</v>
      </c>
      <c r="V45" s="14">
        <v>1.7</v>
      </c>
      <c r="W45" s="14">
        <v>29</v>
      </c>
      <c r="X45" s="14">
        <v>34</v>
      </c>
      <c r="Y45" s="14">
        <f t="shared" si="5"/>
        <v>6904.7619047619055</v>
      </c>
      <c r="Z45" s="14">
        <v>12</v>
      </c>
      <c r="AA45" s="14">
        <v>6.4000000000000003E-3</v>
      </c>
      <c r="AB45" s="21">
        <f t="shared" si="2"/>
        <v>6.4</v>
      </c>
      <c r="AC45" s="14">
        <v>0.53</v>
      </c>
      <c r="AD45" s="14">
        <v>6.6</v>
      </c>
      <c r="AE45" s="14">
        <v>95</v>
      </c>
      <c r="AF45" s="14">
        <f t="shared" si="6"/>
        <v>101.6</v>
      </c>
      <c r="AG45" s="18" t="s">
        <v>90</v>
      </c>
      <c r="AH45" s="27">
        <v>22619.047619047622</v>
      </c>
    </row>
    <row r="46" spans="1:34">
      <c r="A46" s="26">
        <v>2021</v>
      </c>
      <c r="B46" s="14" t="s">
        <v>1</v>
      </c>
      <c r="C46" s="14" t="s">
        <v>55</v>
      </c>
      <c r="D46" s="14" t="s">
        <v>18</v>
      </c>
      <c r="E46" s="14" t="s">
        <v>61</v>
      </c>
      <c r="F46" s="14" t="s">
        <v>62</v>
      </c>
      <c r="G46" s="14" t="s">
        <v>73</v>
      </c>
      <c r="H46" s="14" t="s">
        <v>63</v>
      </c>
      <c r="I46" s="15">
        <v>0.45</v>
      </c>
      <c r="J46" s="19">
        <v>18.899999999999999</v>
      </c>
      <c r="K46" s="19">
        <v>8</v>
      </c>
      <c r="L46" s="19">
        <v>1.1000000000000001</v>
      </c>
      <c r="M46" s="19">
        <v>3.3</v>
      </c>
      <c r="N46" s="19">
        <v>10.5</v>
      </c>
      <c r="O46" s="19">
        <v>10</v>
      </c>
      <c r="P46" s="19">
        <v>0.05</v>
      </c>
      <c r="Q46" s="19">
        <v>1.3</v>
      </c>
      <c r="R46" s="19">
        <v>5</v>
      </c>
      <c r="S46" s="19">
        <v>2.2000000000000002</v>
      </c>
      <c r="T46" s="20" t="s">
        <v>10</v>
      </c>
      <c r="U46" s="19">
        <v>3.8E-3</v>
      </c>
      <c r="V46" s="14">
        <v>2.1</v>
      </c>
      <c r="W46" s="14">
        <v>37</v>
      </c>
      <c r="X46" s="14">
        <v>33</v>
      </c>
      <c r="Y46" s="14">
        <f t="shared" si="5"/>
        <v>9736.8421052631584</v>
      </c>
      <c r="Z46" s="19">
        <v>20</v>
      </c>
      <c r="AA46" s="19">
        <v>0.02</v>
      </c>
      <c r="AB46" s="21">
        <f t="shared" si="2"/>
        <v>20</v>
      </c>
      <c r="AC46" s="14">
        <v>1</v>
      </c>
      <c r="AD46" s="19">
        <v>2.1</v>
      </c>
      <c r="AE46" s="19">
        <v>25</v>
      </c>
      <c r="AF46" s="14">
        <f t="shared" si="6"/>
        <v>27.1</v>
      </c>
      <c r="AG46" s="18" t="s">
        <v>90</v>
      </c>
      <c r="AH46" s="27">
        <v>6578.9473684210525</v>
      </c>
    </row>
    <row r="47" spans="1:34">
      <c r="A47" s="26">
        <v>2014</v>
      </c>
      <c r="B47" s="14" t="s">
        <v>1</v>
      </c>
      <c r="C47" s="14" t="s">
        <v>56</v>
      </c>
      <c r="D47" s="14" t="s">
        <v>21</v>
      </c>
      <c r="E47" s="14" t="s">
        <v>61</v>
      </c>
      <c r="F47" s="14" t="s">
        <v>62</v>
      </c>
      <c r="G47" s="14" t="s">
        <v>73</v>
      </c>
      <c r="H47" s="14" t="s">
        <v>63</v>
      </c>
      <c r="I47" s="15">
        <v>0.28000000000000003</v>
      </c>
      <c r="J47" s="14">
        <v>20.8</v>
      </c>
      <c r="K47" s="14">
        <v>7.7</v>
      </c>
      <c r="L47" s="14" t="s">
        <v>7</v>
      </c>
      <c r="M47" s="14">
        <v>3</v>
      </c>
      <c r="N47" s="14">
        <v>9.8000000000000007</v>
      </c>
      <c r="O47" s="14">
        <v>10</v>
      </c>
      <c r="P47" s="14">
        <v>5.6000000000000001E-2</v>
      </c>
      <c r="Q47" s="14">
        <v>1.4</v>
      </c>
      <c r="R47" s="14">
        <v>2</v>
      </c>
      <c r="S47" s="14">
        <v>2.2000000000000002</v>
      </c>
      <c r="T47" s="14">
        <v>9.4999999999999998E-3</v>
      </c>
      <c r="U47" s="14">
        <v>2.8000000000000001E-2</v>
      </c>
      <c r="V47" s="14">
        <v>180</v>
      </c>
      <c r="W47" s="14">
        <v>480</v>
      </c>
      <c r="X47" s="14">
        <v>240</v>
      </c>
      <c r="Y47" s="14">
        <f t="shared" si="5"/>
        <v>17142.857142857141</v>
      </c>
      <c r="Z47" s="14">
        <v>13</v>
      </c>
      <c r="AA47" s="14">
        <v>5.4600000000000003E-2</v>
      </c>
      <c r="AB47" s="21">
        <f t="shared" si="2"/>
        <v>54.6</v>
      </c>
      <c r="AC47" s="14">
        <v>4.2</v>
      </c>
      <c r="AD47" s="14">
        <v>44</v>
      </c>
      <c r="AE47" s="14">
        <v>130</v>
      </c>
      <c r="AF47" s="14">
        <f t="shared" si="6"/>
        <v>174</v>
      </c>
      <c r="AG47" s="16">
        <v>4631.5789473684208</v>
      </c>
      <c r="AH47" s="27">
        <v>4642.8571428571431</v>
      </c>
    </row>
    <row r="48" spans="1:34">
      <c r="A48" s="26">
        <v>2016</v>
      </c>
      <c r="B48" s="14" t="s">
        <v>2</v>
      </c>
      <c r="C48" s="14" t="s">
        <v>56</v>
      </c>
      <c r="D48" s="14" t="s">
        <v>21</v>
      </c>
      <c r="E48" s="14" t="s">
        <v>61</v>
      </c>
      <c r="F48" s="14" t="s">
        <v>62</v>
      </c>
      <c r="G48" s="14" t="s">
        <v>73</v>
      </c>
      <c r="H48" s="14" t="s">
        <v>63</v>
      </c>
      <c r="I48" s="15">
        <v>0.48</v>
      </c>
      <c r="J48" s="14">
        <v>22.8</v>
      </c>
      <c r="K48" s="14">
        <v>7.7</v>
      </c>
      <c r="L48" s="14">
        <v>0.6</v>
      </c>
      <c r="M48" s="14">
        <v>3.7</v>
      </c>
      <c r="N48" s="14">
        <v>9</v>
      </c>
      <c r="O48" s="14">
        <v>7.9</v>
      </c>
      <c r="P48" s="14">
        <v>0.04</v>
      </c>
      <c r="Q48" s="14">
        <v>1.4</v>
      </c>
      <c r="R48" s="14">
        <v>5</v>
      </c>
      <c r="S48" s="14">
        <v>3.7</v>
      </c>
      <c r="T48" s="14">
        <v>4.1999999999999997E-3</v>
      </c>
      <c r="U48" s="14">
        <v>2.1000000000000001E-2</v>
      </c>
      <c r="V48" s="14">
        <v>39</v>
      </c>
      <c r="W48" s="14">
        <v>250</v>
      </c>
      <c r="X48" s="14"/>
      <c r="Y48" s="14">
        <f t="shared" si="5"/>
        <v>11904.761904761905</v>
      </c>
      <c r="Z48" s="14">
        <v>28</v>
      </c>
      <c r="AA48" s="14">
        <v>1.9E-2</v>
      </c>
      <c r="AB48" s="21">
        <f t="shared" si="2"/>
        <v>19</v>
      </c>
      <c r="AC48" s="14">
        <v>0.68</v>
      </c>
      <c r="AD48" s="14">
        <v>14</v>
      </c>
      <c r="AE48" s="14">
        <v>71</v>
      </c>
      <c r="AF48" s="14">
        <f t="shared" si="6"/>
        <v>85</v>
      </c>
      <c r="AG48" s="16">
        <v>3333.3333333333335</v>
      </c>
      <c r="AH48" s="27">
        <v>3380.9523809523807</v>
      </c>
    </row>
    <row r="49" spans="1:34">
      <c r="A49" s="26">
        <v>2017</v>
      </c>
      <c r="B49" s="14" t="s">
        <v>2</v>
      </c>
      <c r="C49" s="14" t="s">
        <v>56</v>
      </c>
      <c r="D49" s="14" t="s">
        <v>21</v>
      </c>
      <c r="E49" s="14" t="s">
        <v>61</v>
      </c>
      <c r="F49" s="14" t="s">
        <v>62</v>
      </c>
      <c r="G49" s="14" t="s">
        <v>73</v>
      </c>
      <c r="H49" s="14" t="s">
        <v>63</v>
      </c>
      <c r="I49" s="15">
        <v>0.43</v>
      </c>
      <c r="J49" s="14">
        <v>18.600000000000001</v>
      </c>
      <c r="K49" s="14">
        <v>7.5</v>
      </c>
      <c r="L49" s="14" t="s">
        <v>5</v>
      </c>
      <c r="M49" s="14">
        <v>2.6</v>
      </c>
      <c r="N49" s="14">
        <v>9.8000000000000007</v>
      </c>
      <c r="O49" s="14">
        <v>10.6</v>
      </c>
      <c r="P49" s="14">
        <v>0.08</v>
      </c>
      <c r="Q49" s="14">
        <v>1.1000000000000001</v>
      </c>
      <c r="R49" s="14">
        <v>2</v>
      </c>
      <c r="S49" s="14">
        <v>1.3</v>
      </c>
      <c r="T49" s="14">
        <v>1.1999999999999999E-3</v>
      </c>
      <c r="U49" s="14">
        <v>9.1999999999999998E-3</v>
      </c>
      <c r="V49" s="14">
        <v>24</v>
      </c>
      <c r="W49" s="14">
        <v>180</v>
      </c>
      <c r="X49" s="14">
        <v>34</v>
      </c>
      <c r="Y49" s="14">
        <f t="shared" si="5"/>
        <v>19565.217391304348</v>
      </c>
      <c r="Z49" s="14">
        <v>5</v>
      </c>
      <c r="AA49" s="14">
        <v>8.3000000000000001E-3</v>
      </c>
      <c r="AB49" s="21">
        <f t="shared" si="2"/>
        <v>8.3000000000000007</v>
      </c>
      <c r="AC49" s="14">
        <v>1.6600000000000001</v>
      </c>
      <c r="AD49" s="14">
        <v>17</v>
      </c>
      <c r="AE49" s="14">
        <v>91</v>
      </c>
      <c r="AF49" s="14">
        <f t="shared" si="6"/>
        <v>108</v>
      </c>
      <c r="AG49" s="16">
        <v>14166.666666666668</v>
      </c>
      <c r="AH49" s="27">
        <v>9891.3043478260879</v>
      </c>
    </row>
    <row r="50" spans="1:34">
      <c r="A50" s="26">
        <v>2019</v>
      </c>
      <c r="B50" s="14" t="s">
        <v>1</v>
      </c>
      <c r="C50" s="14" t="s">
        <v>56</v>
      </c>
      <c r="D50" s="14" t="s">
        <v>21</v>
      </c>
      <c r="E50" s="14" t="s">
        <v>61</v>
      </c>
      <c r="F50" s="14" t="s">
        <v>62</v>
      </c>
      <c r="G50" s="14" t="s">
        <v>73</v>
      </c>
      <c r="H50" s="14" t="s">
        <v>63</v>
      </c>
      <c r="I50" s="15">
        <v>0.33</v>
      </c>
      <c r="J50" s="14">
        <v>19.8</v>
      </c>
      <c r="K50" s="14">
        <v>7.1</v>
      </c>
      <c r="L50" s="14">
        <v>1.6</v>
      </c>
      <c r="M50" s="14">
        <v>3.6</v>
      </c>
      <c r="N50" s="14">
        <v>8</v>
      </c>
      <c r="O50" s="14">
        <v>12.9</v>
      </c>
      <c r="P50" s="14">
        <v>7.0000000000000007E-2</v>
      </c>
      <c r="Q50" s="14">
        <v>1.5</v>
      </c>
      <c r="R50" s="14">
        <v>4</v>
      </c>
      <c r="S50" s="14">
        <v>3.6</v>
      </c>
      <c r="T50" s="17" t="s">
        <v>13</v>
      </c>
      <c r="U50" s="14">
        <v>1.9E-2</v>
      </c>
      <c r="V50" s="14">
        <v>11</v>
      </c>
      <c r="W50" s="14">
        <v>140</v>
      </c>
      <c r="X50" s="14">
        <f>28+7.8</f>
        <v>35.799999999999997</v>
      </c>
      <c r="Y50" s="14">
        <f t="shared" si="5"/>
        <v>7368.4210526315792</v>
      </c>
      <c r="Z50" s="14">
        <v>198</v>
      </c>
      <c r="AA50" s="14">
        <v>0.12</v>
      </c>
      <c r="AB50" s="21">
        <f t="shared" si="2"/>
        <v>120</v>
      </c>
      <c r="AC50" s="14">
        <v>0.61</v>
      </c>
      <c r="AD50" s="14">
        <v>7.1</v>
      </c>
      <c r="AE50" s="14">
        <v>77</v>
      </c>
      <c r="AF50" s="14">
        <f t="shared" si="6"/>
        <v>84.1</v>
      </c>
      <c r="AG50" s="18" t="s">
        <v>90</v>
      </c>
      <c r="AH50" s="27">
        <v>4052.6315789473683</v>
      </c>
    </row>
    <row r="51" spans="1:34">
      <c r="A51" s="26">
        <v>2020</v>
      </c>
      <c r="B51" s="14" t="s">
        <v>6</v>
      </c>
      <c r="C51" s="14" t="s">
        <v>56</v>
      </c>
      <c r="D51" s="14" t="s">
        <v>21</v>
      </c>
      <c r="E51" s="14" t="s">
        <v>61</v>
      </c>
      <c r="F51" s="14" t="s">
        <v>62</v>
      </c>
      <c r="G51" s="14" t="s">
        <v>73</v>
      </c>
      <c r="H51" s="14" t="s">
        <v>63</v>
      </c>
      <c r="I51" s="15">
        <v>0.4</v>
      </c>
      <c r="J51" s="14">
        <v>8.6</v>
      </c>
      <c r="K51" s="14">
        <v>7.4</v>
      </c>
      <c r="L51" s="14" t="s">
        <v>5</v>
      </c>
      <c r="M51" s="14">
        <v>1.8</v>
      </c>
      <c r="N51" s="14">
        <v>12.1</v>
      </c>
      <c r="O51" s="14">
        <v>9.6999999999999993</v>
      </c>
      <c r="P51" s="14">
        <v>0.05</v>
      </c>
      <c r="Q51" s="14">
        <v>0.8</v>
      </c>
      <c r="R51" s="14" t="s">
        <v>88</v>
      </c>
      <c r="S51" s="14">
        <v>0.4</v>
      </c>
      <c r="T51" s="17" t="s">
        <v>15</v>
      </c>
      <c r="U51" s="14">
        <v>1.6999999999999999E-3</v>
      </c>
      <c r="V51" s="14">
        <v>2.2999999999999998</v>
      </c>
      <c r="W51" s="14">
        <v>57</v>
      </c>
      <c r="X51" s="14">
        <v>50</v>
      </c>
      <c r="Y51" s="14">
        <f t="shared" si="5"/>
        <v>33529.411764705881</v>
      </c>
      <c r="Z51" s="14">
        <v>7</v>
      </c>
      <c r="AA51" s="14">
        <v>3.8999999999999998E-3</v>
      </c>
      <c r="AB51" s="21">
        <f t="shared" si="2"/>
        <v>3.9</v>
      </c>
      <c r="AC51" s="14">
        <v>0.56000000000000005</v>
      </c>
      <c r="AD51" s="17" t="s">
        <v>22</v>
      </c>
      <c r="AE51" s="14">
        <v>6.6</v>
      </c>
      <c r="AF51" s="14">
        <v>6.6</v>
      </c>
      <c r="AG51" s="18" t="s">
        <v>90</v>
      </c>
      <c r="AH51" s="27">
        <v>3882.3529411764707</v>
      </c>
    </row>
    <row r="52" spans="1:34">
      <c r="A52" s="26">
        <v>2021</v>
      </c>
      <c r="B52" s="14" t="s">
        <v>1</v>
      </c>
      <c r="C52" s="14" t="s">
        <v>56</v>
      </c>
      <c r="D52" s="14" t="s">
        <v>21</v>
      </c>
      <c r="E52" s="14" t="s">
        <v>61</v>
      </c>
      <c r="F52" s="14" t="s">
        <v>62</v>
      </c>
      <c r="G52" s="14" t="s">
        <v>73</v>
      </c>
      <c r="H52" s="14" t="s">
        <v>63</v>
      </c>
      <c r="I52" s="15">
        <v>0.41</v>
      </c>
      <c r="J52" s="14">
        <v>20.7</v>
      </c>
      <c r="K52" s="14">
        <v>7.7</v>
      </c>
      <c r="L52" s="14" t="s">
        <v>5</v>
      </c>
      <c r="M52" s="14">
        <v>2.5</v>
      </c>
      <c r="N52" s="14">
        <v>9.4</v>
      </c>
      <c r="O52" s="14">
        <v>11.7</v>
      </c>
      <c r="P52" s="14">
        <v>0.06</v>
      </c>
      <c r="Q52" s="14">
        <v>1</v>
      </c>
      <c r="R52" s="14">
        <v>4</v>
      </c>
      <c r="S52" s="14">
        <v>2.7</v>
      </c>
      <c r="T52" s="17" t="s">
        <v>12</v>
      </c>
      <c r="U52" s="14">
        <v>5.4000000000000003E-3</v>
      </c>
      <c r="V52" s="14">
        <v>1.7</v>
      </c>
      <c r="W52" s="14">
        <v>48</v>
      </c>
      <c r="X52" s="14">
        <v>23</v>
      </c>
      <c r="Y52" s="14">
        <f t="shared" si="5"/>
        <v>8888.8888888888887</v>
      </c>
      <c r="Z52" s="14">
        <v>11</v>
      </c>
      <c r="AA52" s="14">
        <v>5.0000000000000001E-3</v>
      </c>
      <c r="AB52" s="21">
        <f t="shared" si="2"/>
        <v>5</v>
      </c>
      <c r="AC52" s="14">
        <v>0.45</v>
      </c>
      <c r="AD52" s="17" t="s">
        <v>23</v>
      </c>
      <c r="AE52" s="14">
        <v>13</v>
      </c>
      <c r="AF52" s="14">
        <v>13</v>
      </c>
      <c r="AG52" s="18" t="s">
        <v>90</v>
      </c>
      <c r="AH52" s="27">
        <v>2407.4074074074074</v>
      </c>
    </row>
    <row r="53" spans="1:34">
      <c r="A53" s="26">
        <v>2021</v>
      </c>
      <c r="B53" s="14" t="s">
        <v>2</v>
      </c>
      <c r="C53" s="14" t="s">
        <v>56</v>
      </c>
      <c r="D53" s="14" t="s">
        <v>21</v>
      </c>
      <c r="E53" s="14" t="s">
        <v>61</v>
      </c>
      <c r="F53" s="14" t="s">
        <v>62</v>
      </c>
      <c r="G53" s="14" t="s">
        <v>73</v>
      </c>
      <c r="H53" s="14" t="s">
        <v>63</v>
      </c>
      <c r="I53" s="15">
        <v>0.45</v>
      </c>
      <c r="J53" s="14">
        <v>21.1</v>
      </c>
      <c r="K53" s="14">
        <v>7.5</v>
      </c>
      <c r="L53" s="14">
        <v>0.5</v>
      </c>
      <c r="M53" s="14">
        <v>3.1</v>
      </c>
      <c r="N53" s="14">
        <v>9.1999999999999993</v>
      </c>
      <c r="O53" s="14">
        <v>9.4</v>
      </c>
      <c r="P53" s="14">
        <v>0.05</v>
      </c>
      <c r="Q53" s="14">
        <v>1.1000000000000001</v>
      </c>
      <c r="R53" s="14">
        <v>14</v>
      </c>
      <c r="S53" s="14">
        <v>7.9</v>
      </c>
      <c r="T53" s="17" t="s">
        <v>12</v>
      </c>
      <c r="U53" s="14">
        <v>6.6E-3</v>
      </c>
      <c r="V53" s="14">
        <v>1.4</v>
      </c>
      <c r="W53" s="14">
        <v>49</v>
      </c>
      <c r="X53" s="14">
        <v>29</v>
      </c>
      <c r="Y53" s="14">
        <f t="shared" si="5"/>
        <v>7424.242424242424</v>
      </c>
      <c r="Z53" s="14">
        <v>51</v>
      </c>
      <c r="AA53" s="14">
        <v>0.14000000000000001</v>
      </c>
      <c r="AB53" s="21">
        <f t="shared" si="2"/>
        <v>140</v>
      </c>
      <c r="AC53" s="14">
        <v>2.75</v>
      </c>
      <c r="AD53" s="17" t="s">
        <v>24</v>
      </c>
      <c r="AE53" s="14">
        <v>14</v>
      </c>
      <c r="AF53" s="14">
        <v>14</v>
      </c>
      <c r="AG53" s="18" t="s">
        <v>90</v>
      </c>
      <c r="AH53" s="27">
        <v>2121.212121212121</v>
      </c>
    </row>
    <row r="54" spans="1:34">
      <c r="A54" s="26">
        <v>2021</v>
      </c>
      <c r="B54" s="14" t="s">
        <v>3</v>
      </c>
      <c r="C54" s="14" t="s">
        <v>56</v>
      </c>
      <c r="D54" s="14" t="s">
        <v>21</v>
      </c>
      <c r="E54" s="14" t="s">
        <v>61</v>
      </c>
      <c r="F54" s="14" t="s">
        <v>62</v>
      </c>
      <c r="G54" s="14" t="s">
        <v>73</v>
      </c>
      <c r="H54" s="14" t="s">
        <v>63</v>
      </c>
      <c r="I54" s="15">
        <v>0.55000000000000004</v>
      </c>
      <c r="J54" s="14">
        <v>13.1</v>
      </c>
      <c r="K54" s="14">
        <v>7.5</v>
      </c>
      <c r="L54" s="14" t="s">
        <v>5</v>
      </c>
      <c r="M54" s="14">
        <v>1.8</v>
      </c>
      <c r="N54" s="14">
        <v>11</v>
      </c>
      <c r="O54" s="14">
        <v>9.8000000000000007</v>
      </c>
      <c r="P54" s="14">
        <v>0.05</v>
      </c>
      <c r="Q54" s="14">
        <v>0.8</v>
      </c>
      <c r="R54" s="14" t="s">
        <v>88</v>
      </c>
      <c r="S54" s="14">
        <v>0.8</v>
      </c>
      <c r="T54" s="17" t="s">
        <v>12</v>
      </c>
      <c r="U54" s="14">
        <v>3.3E-3</v>
      </c>
      <c r="V54" s="14">
        <v>1.2</v>
      </c>
      <c r="W54" s="14">
        <v>36</v>
      </c>
      <c r="X54" s="14">
        <v>120</v>
      </c>
      <c r="Y54" s="14">
        <f t="shared" si="5"/>
        <v>10909.09090909091</v>
      </c>
      <c r="Z54" s="14">
        <v>34</v>
      </c>
      <c r="AA54" s="14">
        <v>2.7E-2</v>
      </c>
      <c r="AB54" s="21">
        <f t="shared" si="2"/>
        <v>27</v>
      </c>
      <c r="AC54" s="14">
        <v>0.79</v>
      </c>
      <c r="AD54" s="14">
        <v>2.1</v>
      </c>
      <c r="AE54" s="14">
        <v>31</v>
      </c>
      <c r="AF54" s="14">
        <f t="shared" ref="AF54:AF64" si="7">AD54+AE54</f>
        <v>33.1</v>
      </c>
      <c r="AG54" s="18" t="s">
        <v>90</v>
      </c>
      <c r="AH54" s="27">
        <v>9393.939393939394</v>
      </c>
    </row>
    <row r="55" spans="1:34">
      <c r="A55" s="26">
        <v>2021</v>
      </c>
      <c r="B55" s="14" t="s">
        <v>3</v>
      </c>
      <c r="C55" s="14" t="s">
        <v>56</v>
      </c>
      <c r="D55" s="14" t="s">
        <v>21</v>
      </c>
      <c r="E55" s="14" t="s">
        <v>61</v>
      </c>
      <c r="F55" s="4" t="s">
        <v>66</v>
      </c>
      <c r="G55" s="4" t="s">
        <v>64</v>
      </c>
      <c r="H55" s="4" t="s">
        <v>65</v>
      </c>
      <c r="I55" s="15">
        <v>0.55000000000000004</v>
      </c>
      <c r="J55" s="14">
        <v>13.1</v>
      </c>
      <c r="K55" s="14">
        <v>7.5</v>
      </c>
      <c r="L55" s="14" t="s">
        <v>5</v>
      </c>
      <c r="M55" s="14">
        <v>1.8</v>
      </c>
      <c r="N55" s="14">
        <v>11</v>
      </c>
      <c r="O55" s="14">
        <v>9.8000000000000007</v>
      </c>
      <c r="P55" s="14">
        <v>0.05</v>
      </c>
      <c r="Q55" s="14">
        <v>0.8</v>
      </c>
      <c r="R55" s="14" t="s">
        <v>88</v>
      </c>
      <c r="S55" s="14">
        <v>0.8</v>
      </c>
      <c r="T55" s="17" t="s">
        <v>12</v>
      </c>
      <c r="U55" s="14">
        <v>3.3E-3</v>
      </c>
      <c r="V55" s="14">
        <v>1.2</v>
      </c>
      <c r="W55" s="14">
        <v>36</v>
      </c>
      <c r="X55" s="14"/>
      <c r="Y55" s="14">
        <f t="shared" si="5"/>
        <v>10909.09090909091</v>
      </c>
      <c r="Z55" s="14">
        <v>30</v>
      </c>
      <c r="AA55" s="14">
        <v>0.34</v>
      </c>
      <c r="AB55" s="21">
        <f t="shared" si="2"/>
        <v>340</v>
      </c>
      <c r="AC55" s="14">
        <v>11.33</v>
      </c>
      <c r="AD55" s="14">
        <v>1.5</v>
      </c>
      <c r="AE55" s="14">
        <v>34</v>
      </c>
      <c r="AF55" s="14">
        <f t="shared" si="7"/>
        <v>35.5</v>
      </c>
      <c r="AG55" s="18" t="s">
        <v>90</v>
      </c>
      <c r="AH55" s="27">
        <v>10303.030303030304</v>
      </c>
    </row>
    <row r="56" spans="1:34">
      <c r="A56" s="26">
        <v>2012</v>
      </c>
      <c r="B56" s="14" t="s">
        <v>3</v>
      </c>
      <c r="C56" s="14" t="s">
        <v>57</v>
      </c>
      <c r="D56" s="14" t="s">
        <v>25</v>
      </c>
      <c r="E56" s="14" t="s">
        <v>61</v>
      </c>
      <c r="F56" s="14" t="s">
        <v>62</v>
      </c>
      <c r="G56" s="14" t="s">
        <v>73</v>
      </c>
      <c r="H56" s="14" t="s">
        <v>63</v>
      </c>
      <c r="I56" s="15">
        <v>0.48</v>
      </c>
      <c r="J56" s="14">
        <v>14</v>
      </c>
      <c r="K56" s="14">
        <v>7.65</v>
      </c>
      <c r="L56" s="14" t="s">
        <v>5</v>
      </c>
      <c r="M56" s="14">
        <v>2.95</v>
      </c>
      <c r="N56" s="14">
        <v>10.850000000000001</v>
      </c>
      <c r="O56" s="14">
        <v>9.875</v>
      </c>
      <c r="P56" s="14">
        <v>5.5E-2</v>
      </c>
      <c r="Q56" s="14">
        <v>1.2</v>
      </c>
      <c r="R56" s="14">
        <v>1</v>
      </c>
      <c r="S56" s="14">
        <v>0.85</v>
      </c>
      <c r="T56" s="14">
        <v>4.65E-2</v>
      </c>
      <c r="U56" s="14">
        <v>7.8E-2</v>
      </c>
      <c r="V56" s="14">
        <v>790</v>
      </c>
      <c r="W56" s="14">
        <v>1300</v>
      </c>
      <c r="X56" s="14">
        <v>340</v>
      </c>
      <c r="Y56" s="14">
        <f t="shared" si="5"/>
        <v>16666.666666666668</v>
      </c>
      <c r="Z56" s="14">
        <v>20</v>
      </c>
      <c r="AA56" s="14">
        <v>1.2999999999999999E-2</v>
      </c>
      <c r="AB56" s="21">
        <f t="shared" si="2"/>
        <v>13</v>
      </c>
      <c r="AC56" s="14">
        <v>0.65</v>
      </c>
      <c r="AD56" s="14">
        <v>430</v>
      </c>
      <c r="AE56" s="14">
        <v>680</v>
      </c>
      <c r="AF56" s="14">
        <f t="shared" si="7"/>
        <v>1110</v>
      </c>
      <c r="AG56" s="16">
        <v>9247.3118279569899</v>
      </c>
      <c r="AH56" s="27">
        <v>8717.9487179487187</v>
      </c>
    </row>
    <row r="57" spans="1:34">
      <c r="A57" s="26">
        <v>2012</v>
      </c>
      <c r="B57" s="14" t="s">
        <v>6</v>
      </c>
      <c r="C57" s="14" t="s">
        <v>57</v>
      </c>
      <c r="D57" s="14" t="s">
        <v>25</v>
      </c>
      <c r="E57" s="14" t="s">
        <v>61</v>
      </c>
      <c r="F57" s="14" t="s">
        <v>62</v>
      </c>
      <c r="G57" s="14" t="s">
        <v>73</v>
      </c>
      <c r="H57" s="14" t="s">
        <v>63</v>
      </c>
      <c r="I57" s="15">
        <v>0.35</v>
      </c>
      <c r="J57" s="14">
        <v>8.35</v>
      </c>
      <c r="K57" s="14">
        <v>7.4</v>
      </c>
      <c r="L57" s="14">
        <v>0.6</v>
      </c>
      <c r="M57" s="14">
        <v>2.7</v>
      </c>
      <c r="N57" s="14">
        <v>10.899999999999999</v>
      </c>
      <c r="O57" s="14">
        <v>9.7850000000000001</v>
      </c>
      <c r="P57" s="14">
        <v>0.05</v>
      </c>
      <c r="Q57" s="14">
        <v>0.9</v>
      </c>
      <c r="R57" s="14" t="s">
        <v>88</v>
      </c>
      <c r="S57" s="14">
        <v>0.8</v>
      </c>
      <c r="T57" s="14">
        <v>0.05</v>
      </c>
      <c r="U57" s="14">
        <v>8.299999999999999E-2</v>
      </c>
      <c r="V57" s="14">
        <v>810</v>
      </c>
      <c r="W57" s="14">
        <v>1400</v>
      </c>
      <c r="X57" s="14">
        <v>0.97</v>
      </c>
      <c r="Y57" s="14">
        <f t="shared" si="5"/>
        <v>16867.469879518074</v>
      </c>
      <c r="Z57" s="14">
        <v>8</v>
      </c>
      <c r="AA57" s="14">
        <v>8.5000000000000006E-3</v>
      </c>
      <c r="AB57" s="21">
        <f t="shared" si="2"/>
        <v>8.5</v>
      </c>
      <c r="AC57" s="14">
        <v>1.06</v>
      </c>
      <c r="AD57" s="14">
        <v>310</v>
      </c>
      <c r="AE57" s="14">
        <v>480</v>
      </c>
      <c r="AF57" s="14">
        <f t="shared" si="7"/>
        <v>790</v>
      </c>
      <c r="AG57" s="16">
        <v>6200</v>
      </c>
      <c r="AH57" s="27">
        <v>5783.1325301204824</v>
      </c>
    </row>
    <row r="58" spans="1:34">
      <c r="A58" s="26">
        <v>2013</v>
      </c>
      <c r="B58" s="14" t="s">
        <v>1</v>
      </c>
      <c r="C58" s="14" t="s">
        <v>57</v>
      </c>
      <c r="D58" s="14" t="s">
        <v>25</v>
      </c>
      <c r="E58" s="14" t="s">
        <v>61</v>
      </c>
      <c r="F58" s="14" t="s">
        <v>62</v>
      </c>
      <c r="G58" s="14" t="s">
        <v>73</v>
      </c>
      <c r="H58" s="14" t="s">
        <v>63</v>
      </c>
      <c r="I58" s="15">
        <v>0.31</v>
      </c>
      <c r="J58" s="14">
        <v>19.8</v>
      </c>
      <c r="K58" s="14">
        <v>7.25</v>
      </c>
      <c r="L58" s="14">
        <v>0.64999999999999991</v>
      </c>
      <c r="M58" s="14">
        <v>2.85</v>
      </c>
      <c r="N58" s="14">
        <v>9.25</v>
      </c>
      <c r="O58" s="14">
        <v>11.1</v>
      </c>
      <c r="P58" s="14">
        <v>0.06</v>
      </c>
      <c r="Q58" s="14">
        <v>1.2000000000000002</v>
      </c>
      <c r="R58" s="14">
        <v>1.5</v>
      </c>
      <c r="S58" s="14">
        <v>1.1499999999999999</v>
      </c>
      <c r="T58" s="14">
        <v>3.2500000000000001E-2</v>
      </c>
      <c r="U58" s="14">
        <v>6.5000000000000002E-2</v>
      </c>
      <c r="V58" s="14">
        <v>640</v>
      </c>
      <c r="W58" s="14">
        <v>1300</v>
      </c>
      <c r="X58" s="14">
        <f>9.1+1100</f>
        <v>1109.0999999999999</v>
      </c>
      <c r="Y58" s="14">
        <f t="shared" si="5"/>
        <v>20000</v>
      </c>
      <c r="Z58" s="14">
        <v>25</v>
      </c>
      <c r="AA58" s="14">
        <v>8.6999999999999994E-3</v>
      </c>
      <c r="AB58" s="21">
        <f t="shared" si="2"/>
        <v>8.6999999999999993</v>
      </c>
      <c r="AC58" s="14">
        <v>0.35</v>
      </c>
      <c r="AD58" s="14">
        <v>370</v>
      </c>
      <c r="AE58" s="14">
        <v>730</v>
      </c>
      <c r="AF58" s="14">
        <f t="shared" si="7"/>
        <v>1100</v>
      </c>
      <c r="AG58" s="16">
        <v>11384.615384615385</v>
      </c>
      <c r="AH58" s="27">
        <v>11230.76923076923</v>
      </c>
    </row>
    <row r="59" spans="1:34">
      <c r="A59" s="26">
        <v>2013</v>
      </c>
      <c r="B59" s="14" t="s">
        <v>2</v>
      </c>
      <c r="C59" s="14" t="s">
        <v>57</v>
      </c>
      <c r="D59" s="14" t="s">
        <v>25</v>
      </c>
      <c r="E59" s="14" t="s">
        <v>61</v>
      </c>
      <c r="F59" s="14" t="s">
        <v>68</v>
      </c>
      <c r="G59" s="4" t="s">
        <v>67</v>
      </c>
      <c r="H59" s="4" t="s">
        <v>65</v>
      </c>
      <c r="I59" s="15">
        <v>0.28000000000000003</v>
      </c>
      <c r="J59" s="14">
        <v>23.5</v>
      </c>
      <c r="K59" s="14">
        <v>7.55</v>
      </c>
      <c r="L59" s="14">
        <v>0.5</v>
      </c>
      <c r="M59" s="14">
        <v>3</v>
      </c>
      <c r="N59" s="14">
        <v>10.15</v>
      </c>
      <c r="O59" s="14">
        <v>10.75</v>
      </c>
      <c r="P59" s="14">
        <v>0.06</v>
      </c>
      <c r="Q59" s="14">
        <v>1.5</v>
      </c>
      <c r="R59" s="14">
        <v>1.5</v>
      </c>
      <c r="S59" s="14">
        <v>0.95</v>
      </c>
      <c r="T59" s="14">
        <v>4.3499999999999997E-2</v>
      </c>
      <c r="U59" s="14">
        <v>9.1999999999999998E-2</v>
      </c>
      <c r="V59" s="14">
        <v>530</v>
      </c>
      <c r="W59" s="14">
        <v>1200</v>
      </c>
      <c r="X59" s="14">
        <f>270+9.9+170+17</f>
        <v>466.9</v>
      </c>
      <c r="Y59" s="14">
        <f t="shared" si="5"/>
        <v>13043.478260869566</v>
      </c>
      <c r="Z59" s="14">
        <v>8</v>
      </c>
      <c r="AA59" s="14">
        <v>1.14E-2</v>
      </c>
      <c r="AB59" s="21">
        <f t="shared" si="2"/>
        <v>11.4</v>
      </c>
      <c r="AC59" s="14">
        <v>1.43</v>
      </c>
      <c r="AD59" s="14">
        <v>180</v>
      </c>
      <c r="AE59" s="14">
        <v>390</v>
      </c>
      <c r="AF59" s="14">
        <f t="shared" si="7"/>
        <v>570</v>
      </c>
      <c r="AG59" s="16">
        <v>4137.9310344827591</v>
      </c>
      <c r="AH59" s="27">
        <v>4239.130434782609</v>
      </c>
    </row>
    <row r="60" spans="1:34">
      <c r="A60" s="26">
        <v>2013</v>
      </c>
      <c r="B60" s="14" t="s">
        <v>3</v>
      </c>
      <c r="C60" s="14" t="s">
        <v>57</v>
      </c>
      <c r="D60" s="14" t="s">
        <v>25</v>
      </c>
      <c r="E60" s="14" t="s">
        <v>61</v>
      </c>
      <c r="F60" s="14" t="s">
        <v>62</v>
      </c>
      <c r="G60" s="14" t="s">
        <v>73</v>
      </c>
      <c r="H60" s="14" t="s">
        <v>63</v>
      </c>
      <c r="I60" s="15">
        <v>0.27</v>
      </c>
      <c r="J60" s="14">
        <v>19</v>
      </c>
      <c r="K60" s="14">
        <v>7.5</v>
      </c>
      <c r="L60" s="14">
        <v>0.5</v>
      </c>
      <c r="M60" s="14">
        <v>2.8499999999999996</v>
      </c>
      <c r="N60" s="14">
        <v>9.85</v>
      </c>
      <c r="O60" s="14">
        <v>10.45</v>
      </c>
      <c r="P60" s="14">
        <v>0.06</v>
      </c>
      <c r="Q60" s="14">
        <v>1.3</v>
      </c>
      <c r="R60" s="14" t="s">
        <v>88</v>
      </c>
      <c r="S60" s="14">
        <v>1.05</v>
      </c>
      <c r="T60" s="14">
        <v>3.3000000000000002E-2</v>
      </c>
      <c r="U60" s="14">
        <v>7.350000000000001E-2</v>
      </c>
      <c r="V60" s="14">
        <v>810</v>
      </c>
      <c r="W60" s="14">
        <v>1900</v>
      </c>
      <c r="X60" s="14">
        <f>310+0.86</f>
        <v>310.86</v>
      </c>
      <c r="Y60" s="14">
        <f t="shared" si="5"/>
        <v>25850.340136054419</v>
      </c>
      <c r="Z60" s="14">
        <v>7</v>
      </c>
      <c r="AA60" s="14">
        <v>1.0500000000000001E-2</v>
      </c>
      <c r="AB60" s="21">
        <f t="shared" si="2"/>
        <v>10.5</v>
      </c>
      <c r="AC60" s="14">
        <v>1.5</v>
      </c>
      <c r="AD60" s="14">
        <v>140</v>
      </c>
      <c r="AE60" s="14">
        <v>320</v>
      </c>
      <c r="AF60" s="14">
        <f t="shared" si="7"/>
        <v>460</v>
      </c>
      <c r="AG60" s="16">
        <v>4242.424242424242</v>
      </c>
      <c r="AH60" s="27">
        <v>4353.7414965986391</v>
      </c>
    </row>
    <row r="61" spans="1:34">
      <c r="A61" s="26">
        <v>2013</v>
      </c>
      <c r="B61" s="14" t="s">
        <v>6</v>
      </c>
      <c r="C61" s="14" t="s">
        <v>57</v>
      </c>
      <c r="D61" s="14" t="s">
        <v>25</v>
      </c>
      <c r="E61" s="14" t="s">
        <v>61</v>
      </c>
      <c r="F61" s="14" t="s">
        <v>68</v>
      </c>
      <c r="G61" s="4" t="s">
        <v>67</v>
      </c>
      <c r="H61" s="4" t="s">
        <v>65</v>
      </c>
      <c r="I61" s="15">
        <v>0.26</v>
      </c>
      <c r="J61" s="14">
        <v>6.6</v>
      </c>
      <c r="K61" s="14">
        <v>7.45</v>
      </c>
      <c r="L61" s="14">
        <v>0.6</v>
      </c>
      <c r="M61" s="14">
        <v>2.4</v>
      </c>
      <c r="N61" s="14">
        <v>12.15</v>
      </c>
      <c r="O61" s="14">
        <v>10.1</v>
      </c>
      <c r="P61" s="14">
        <v>0.05</v>
      </c>
      <c r="Q61" s="14">
        <v>1.1000000000000001</v>
      </c>
      <c r="R61" s="14" t="s">
        <v>88</v>
      </c>
      <c r="S61" s="14">
        <v>0.8</v>
      </c>
      <c r="T61" s="14">
        <v>3.6000000000000004E-2</v>
      </c>
      <c r="U61" s="14">
        <v>8.3999999999999991E-2</v>
      </c>
      <c r="V61" s="14">
        <v>460</v>
      </c>
      <c r="W61" s="14">
        <v>1200</v>
      </c>
      <c r="X61" s="14">
        <f>660+1.4</f>
        <v>661.4</v>
      </c>
      <c r="Y61" s="14">
        <f t="shared" si="5"/>
        <v>14285.714285714288</v>
      </c>
      <c r="Z61" s="14">
        <v>10</v>
      </c>
      <c r="AA61" s="14">
        <v>3.1600000000000003E-2</v>
      </c>
      <c r="AB61" s="21">
        <f t="shared" si="2"/>
        <v>31.6</v>
      </c>
      <c r="AC61" s="14">
        <v>3.16</v>
      </c>
      <c r="AD61" s="14">
        <v>190</v>
      </c>
      <c r="AE61" s="14">
        <v>420</v>
      </c>
      <c r="AF61" s="14">
        <f t="shared" si="7"/>
        <v>610</v>
      </c>
      <c r="AG61" s="16">
        <v>5277.7777777777774</v>
      </c>
      <c r="AH61" s="27">
        <v>5000.0000000000009</v>
      </c>
    </row>
    <row r="62" spans="1:34">
      <c r="A62" s="26">
        <v>2014</v>
      </c>
      <c r="B62" s="14" t="s">
        <v>1</v>
      </c>
      <c r="C62" s="14" t="s">
        <v>57</v>
      </c>
      <c r="D62" s="14" t="s">
        <v>25</v>
      </c>
      <c r="E62" s="14" t="s">
        <v>61</v>
      </c>
      <c r="F62" s="14" t="s">
        <v>62</v>
      </c>
      <c r="G62" s="14" t="s">
        <v>73</v>
      </c>
      <c r="H62" s="14" t="s">
        <v>63</v>
      </c>
      <c r="I62" s="15">
        <v>0.74</v>
      </c>
      <c r="J62" s="14">
        <v>18.2</v>
      </c>
      <c r="K62" s="14">
        <v>7.35</v>
      </c>
      <c r="L62" s="14" t="s">
        <v>5</v>
      </c>
      <c r="M62" s="14">
        <v>3.1500000000000004</v>
      </c>
      <c r="N62" s="14">
        <v>9.0500000000000007</v>
      </c>
      <c r="O62" s="14">
        <v>8.1999999999999993</v>
      </c>
      <c r="P62" s="14">
        <v>4.1999999999999996E-2</v>
      </c>
      <c r="Q62" s="14">
        <v>1.6</v>
      </c>
      <c r="R62" s="14">
        <v>2.5</v>
      </c>
      <c r="S62" s="14">
        <v>1.65</v>
      </c>
      <c r="T62" s="14">
        <v>4.5499999999999999E-2</v>
      </c>
      <c r="U62" s="14">
        <v>0.12</v>
      </c>
      <c r="V62" s="14">
        <v>270</v>
      </c>
      <c r="W62" s="14">
        <v>890</v>
      </c>
      <c r="X62" s="14">
        <f>170+19</f>
        <v>189</v>
      </c>
      <c r="Y62" s="14">
        <f t="shared" si="5"/>
        <v>7416.666666666667</v>
      </c>
      <c r="Z62" s="14">
        <v>2</v>
      </c>
      <c r="AA62" s="14">
        <v>2.81E-2</v>
      </c>
      <c r="AB62" s="21">
        <f t="shared" si="2"/>
        <v>28.1</v>
      </c>
      <c r="AC62" s="14">
        <v>14.05</v>
      </c>
      <c r="AD62" s="14">
        <v>250</v>
      </c>
      <c r="AE62" s="14">
        <v>700</v>
      </c>
      <c r="AF62" s="14">
        <f t="shared" si="7"/>
        <v>950</v>
      </c>
      <c r="AG62" s="16">
        <v>5494.5054945054944</v>
      </c>
      <c r="AH62" s="27">
        <v>5833.3333333333339</v>
      </c>
    </row>
    <row r="63" spans="1:34">
      <c r="A63" s="26">
        <v>2018</v>
      </c>
      <c r="B63" s="14" t="s">
        <v>3</v>
      </c>
      <c r="C63" s="14" t="s">
        <v>57</v>
      </c>
      <c r="D63" s="14" t="s">
        <v>25</v>
      </c>
      <c r="E63" s="14" t="s">
        <v>61</v>
      </c>
      <c r="F63" s="4" t="s">
        <v>66</v>
      </c>
      <c r="G63" s="4" t="s">
        <v>64</v>
      </c>
      <c r="H63" s="4" t="s">
        <v>65</v>
      </c>
      <c r="I63" s="15">
        <v>0.46</v>
      </c>
      <c r="J63" s="14">
        <v>13.5</v>
      </c>
      <c r="K63" s="14">
        <v>7.2</v>
      </c>
      <c r="L63" s="14">
        <v>0.7</v>
      </c>
      <c r="M63" s="14">
        <v>2.4</v>
      </c>
      <c r="N63" s="14">
        <v>11.1</v>
      </c>
      <c r="O63" s="14">
        <v>9.8000000000000007</v>
      </c>
      <c r="P63" s="14">
        <v>0.06</v>
      </c>
      <c r="Q63" s="14">
        <v>1.1000000000000001</v>
      </c>
      <c r="R63" s="14" t="s">
        <v>88</v>
      </c>
      <c r="S63" s="14">
        <v>0.7</v>
      </c>
      <c r="T63" s="17" t="s">
        <v>11</v>
      </c>
      <c r="U63" s="14">
        <v>1.2E-2</v>
      </c>
      <c r="V63" s="14">
        <v>26</v>
      </c>
      <c r="W63" s="14">
        <v>310</v>
      </c>
      <c r="X63" s="14">
        <f>80+28</f>
        <v>108</v>
      </c>
      <c r="Y63" s="14">
        <f t="shared" si="5"/>
        <v>25833.333333333332</v>
      </c>
      <c r="Z63" s="14">
        <v>12</v>
      </c>
      <c r="AA63" s="14">
        <v>0.13</v>
      </c>
      <c r="AB63" s="21">
        <f t="shared" si="2"/>
        <v>130</v>
      </c>
      <c r="AC63" s="14">
        <v>10.83</v>
      </c>
      <c r="AD63" s="14">
        <v>9.3000000000000007</v>
      </c>
      <c r="AE63" s="14">
        <v>87</v>
      </c>
      <c r="AF63" s="14">
        <f t="shared" si="7"/>
        <v>96.3</v>
      </c>
      <c r="AG63" s="18" t="s">
        <v>90</v>
      </c>
      <c r="AH63" s="27">
        <v>7250</v>
      </c>
    </row>
    <row r="64" spans="1:34">
      <c r="A64" s="26">
        <v>2019</v>
      </c>
      <c r="B64" s="14" t="s">
        <v>1</v>
      </c>
      <c r="C64" s="14" t="s">
        <v>57</v>
      </c>
      <c r="D64" s="14" t="s">
        <v>25</v>
      </c>
      <c r="E64" s="14" t="s">
        <v>61</v>
      </c>
      <c r="F64" s="14" t="s">
        <v>62</v>
      </c>
      <c r="G64" s="14" t="s">
        <v>73</v>
      </c>
      <c r="H64" s="14" t="s">
        <v>63</v>
      </c>
      <c r="I64" s="15">
        <v>0.31</v>
      </c>
      <c r="J64" s="14">
        <v>22.6</v>
      </c>
      <c r="K64" s="14">
        <v>8.6</v>
      </c>
      <c r="L64" s="14">
        <v>0.8</v>
      </c>
      <c r="M64" s="14">
        <v>3.2</v>
      </c>
      <c r="N64" s="14">
        <v>14.5</v>
      </c>
      <c r="O64" s="14">
        <v>13.3</v>
      </c>
      <c r="P64" s="14">
        <v>7.0000000000000007E-2</v>
      </c>
      <c r="Q64" s="14">
        <v>1.1000000000000001</v>
      </c>
      <c r="R64" s="14">
        <v>1</v>
      </c>
      <c r="S64" s="14">
        <v>1.5</v>
      </c>
      <c r="T64" s="17" t="s">
        <v>15</v>
      </c>
      <c r="U64" s="14">
        <v>1.2E-2</v>
      </c>
      <c r="V64" s="14">
        <v>22</v>
      </c>
      <c r="W64" s="14">
        <v>300</v>
      </c>
      <c r="X64" s="14">
        <f>61+52+5.9</f>
        <v>118.9</v>
      </c>
      <c r="Y64" s="14">
        <f t="shared" si="5"/>
        <v>25000</v>
      </c>
      <c r="Z64" s="14">
        <v>72</v>
      </c>
      <c r="AA64" s="14">
        <v>3.4000000000000002E-2</v>
      </c>
      <c r="AB64" s="21">
        <f t="shared" si="2"/>
        <v>34</v>
      </c>
      <c r="AC64" s="14">
        <v>0.47</v>
      </c>
      <c r="AD64" s="14">
        <v>16</v>
      </c>
      <c r="AE64" s="14">
        <v>170</v>
      </c>
      <c r="AF64" s="14">
        <f t="shared" si="7"/>
        <v>186</v>
      </c>
      <c r="AG64" s="18" t="s">
        <v>90</v>
      </c>
      <c r="AH64" s="27">
        <v>14166.666666666666</v>
      </c>
    </row>
    <row r="65" spans="1:34">
      <c r="A65" s="26">
        <v>2021</v>
      </c>
      <c r="B65" s="14" t="s">
        <v>1</v>
      </c>
      <c r="C65" s="14" t="s">
        <v>57</v>
      </c>
      <c r="D65" s="14" t="s">
        <v>26</v>
      </c>
      <c r="E65" s="14" t="s">
        <v>61</v>
      </c>
      <c r="F65" s="14" t="s">
        <v>62</v>
      </c>
      <c r="G65" s="14" t="s">
        <v>73</v>
      </c>
      <c r="H65" s="14" t="s">
        <v>63</v>
      </c>
      <c r="I65" s="15">
        <v>0.28000000000000003</v>
      </c>
      <c r="J65" s="14">
        <v>19.399999999999999</v>
      </c>
      <c r="K65" s="14">
        <v>7.3</v>
      </c>
      <c r="L65" s="14">
        <v>0.5</v>
      </c>
      <c r="M65" s="14">
        <v>2.2999999999999998</v>
      </c>
      <c r="N65" s="14">
        <v>9.6999999999999993</v>
      </c>
      <c r="O65" s="14">
        <v>12.3</v>
      </c>
      <c r="P65" s="14">
        <v>7.0000000000000007E-2</v>
      </c>
      <c r="Q65" s="14">
        <v>0.9</v>
      </c>
      <c r="R65" s="14">
        <v>2</v>
      </c>
      <c r="S65" s="14">
        <v>2.2999999999999998</v>
      </c>
      <c r="T65" s="17" t="s">
        <v>11</v>
      </c>
      <c r="U65" s="14">
        <v>6.6E-3</v>
      </c>
      <c r="V65" s="14">
        <v>5.5</v>
      </c>
      <c r="W65" s="14">
        <v>120</v>
      </c>
      <c r="X65" s="14">
        <f>53+15</f>
        <v>68</v>
      </c>
      <c r="Y65" s="14">
        <f t="shared" si="5"/>
        <v>18181.81818181818</v>
      </c>
      <c r="Z65" s="14">
        <v>13</v>
      </c>
      <c r="AA65" s="14">
        <v>0.02</v>
      </c>
      <c r="AB65" s="21">
        <f t="shared" si="2"/>
        <v>20</v>
      </c>
      <c r="AC65" s="14">
        <v>1.54</v>
      </c>
      <c r="AD65" s="17" t="s">
        <v>27</v>
      </c>
      <c r="AE65" s="14">
        <v>28</v>
      </c>
      <c r="AF65" s="14">
        <v>28</v>
      </c>
      <c r="AG65" s="18" t="s">
        <v>90</v>
      </c>
      <c r="AH65" s="27">
        <v>4242.424242424242</v>
      </c>
    </row>
    <row r="66" spans="1:34">
      <c r="A66" s="26">
        <v>2021</v>
      </c>
      <c r="B66" s="14" t="s">
        <v>1</v>
      </c>
      <c r="C66" s="14" t="s">
        <v>57</v>
      </c>
      <c r="D66" s="14" t="s">
        <v>26</v>
      </c>
      <c r="E66" s="14" t="s">
        <v>61</v>
      </c>
      <c r="F66" s="4" t="s">
        <v>66</v>
      </c>
      <c r="G66" s="4" t="s">
        <v>64</v>
      </c>
      <c r="H66" s="4" t="s">
        <v>65</v>
      </c>
      <c r="I66" s="15">
        <v>0.28000000000000003</v>
      </c>
      <c r="J66" s="14">
        <v>19.399999999999999</v>
      </c>
      <c r="K66" s="14">
        <v>7.3</v>
      </c>
      <c r="L66" s="14">
        <v>0.5</v>
      </c>
      <c r="M66" s="14">
        <v>2.2999999999999998</v>
      </c>
      <c r="N66" s="14">
        <v>9.6999999999999993</v>
      </c>
      <c r="O66" s="14">
        <v>12.3</v>
      </c>
      <c r="P66" s="14">
        <v>7.0000000000000007E-2</v>
      </c>
      <c r="Q66" s="14">
        <v>0.9</v>
      </c>
      <c r="R66" s="14">
        <v>2</v>
      </c>
      <c r="S66" s="14">
        <v>2.2999999999999998</v>
      </c>
      <c r="T66" s="17" t="s">
        <v>11</v>
      </c>
      <c r="U66" s="14">
        <v>6.6E-3</v>
      </c>
      <c r="V66" s="14">
        <v>5.5</v>
      </c>
      <c r="W66" s="14">
        <v>120</v>
      </c>
      <c r="X66" s="14"/>
      <c r="Y66" s="14">
        <f t="shared" si="5"/>
        <v>18181.81818181818</v>
      </c>
      <c r="Z66" s="14">
        <v>13</v>
      </c>
      <c r="AA66" s="14">
        <v>0.02</v>
      </c>
      <c r="AB66" s="21">
        <f t="shared" si="2"/>
        <v>20</v>
      </c>
      <c r="AC66" s="14">
        <v>1.54</v>
      </c>
      <c r="AD66" s="17" t="s">
        <v>27</v>
      </c>
      <c r="AE66" s="14">
        <v>28</v>
      </c>
      <c r="AF66" s="14">
        <v>28</v>
      </c>
      <c r="AG66" s="18" t="s">
        <v>90</v>
      </c>
      <c r="AH66" s="27">
        <v>4242.424242424242</v>
      </c>
    </row>
    <row r="67" spans="1:34">
      <c r="A67" s="26">
        <v>2012</v>
      </c>
      <c r="B67" s="14" t="s">
        <v>3</v>
      </c>
      <c r="C67" s="14" t="s">
        <v>58</v>
      </c>
      <c r="D67" s="14" t="s">
        <v>28</v>
      </c>
      <c r="E67" s="14" t="s">
        <v>61</v>
      </c>
      <c r="F67" s="14" t="s">
        <v>62</v>
      </c>
      <c r="G67" s="14" t="s">
        <v>73</v>
      </c>
      <c r="H67" s="14" t="s">
        <v>63</v>
      </c>
      <c r="I67" s="15">
        <v>0.43</v>
      </c>
      <c r="J67" s="14">
        <v>12.6</v>
      </c>
      <c r="K67" s="14">
        <v>7.4</v>
      </c>
      <c r="L67" s="14" t="s">
        <v>5</v>
      </c>
      <c r="M67" s="14">
        <v>2.6500000000000004</v>
      </c>
      <c r="N67" s="14">
        <v>11.5</v>
      </c>
      <c r="O67" s="14">
        <v>7.4849999999999994</v>
      </c>
      <c r="P67" s="14">
        <v>0.04</v>
      </c>
      <c r="Q67" s="14">
        <v>1.2000000000000002</v>
      </c>
      <c r="R67" s="14">
        <v>1</v>
      </c>
      <c r="S67" s="14">
        <v>1.05</v>
      </c>
      <c r="T67" s="14">
        <v>0.10350000000000001</v>
      </c>
      <c r="U67" s="14">
        <v>0.16499999999999998</v>
      </c>
      <c r="V67" s="14">
        <v>8400</v>
      </c>
      <c r="W67" s="14">
        <v>14000</v>
      </c>
      <c r="X67" s="14"/>
      <c r="Y67" s="14">
        <f t="shared" si="5"/>
        <v>84848.484848484863</v>
      </c>
      <c r="Z67" s="14">
        <v>15</v>
      </c>
      <c r="AA67" s="14">
        <v>9.4E-2</v>
      </c>
      <c r="AB67" s="21">
        <f t="shared" si="2"/>
        <v>94</v>
      </c>
      <c r="AC67" s="14">
        <v>6.27</v>
      </c>
      <c r="AD67" s="14">
        <v>630</v>
      </c>
      <c r="AE67" s="14">
        <v>990</v>
      </c>
      <c r="AF67" s="14">
        <f t="shared" ref="AF67:AF86" si="8">AD67+AE67</f>
        <v>1620</v>
      </c>
      <c r="AG67" s="16">
        <v>6086.95652173913</v>
      </c>
      <c r="AH67" s="27">
        <v>6000.0000000000009</v>
      </c>
    </row>
    <row r="68" spans="1:34">
      <c r="A68" s="26">
        <v>2013</v>
      </c>
      <c r="B68" s="14" t="s">
        <v>2</v>
      </c>
      <c r="C68" s="14" t="s">
        <v>58</v>
      </c>
      <c r="D68" s="14" t="s">
        <v>28</v>
      </c>
      <c r="E68" s="14" t="s">
        <v>61</v>
      </c>
      <c r="F68" s="14" t="s">
        <v>68</v>
      </c>
      <c r="G68" s="4" t="s">
        <v>67</v>
      </c>
      <c r="H68" s="4" t="s">
        <v>65</v>
      </c>
      <c r="I68" s="15">
        <v>0.37</v>
      </c>
      <c r="J68" s="14">
        <v>23.4</v>
      </c>
      <c r="K68" s="14">
        <v>7.55</v>
      </c>
      <c r="L68" s="14">
        <v>0.5</v>
      </c>
      <c r="M68" s="14">
        <v>3</v>
      </c>
      <c r="N68" s="14">
        <v>10.15</v>
      </c>
      <c r="O68" s="14">
        <v>10.75</v>
      </c>
      <c r="P68" s="14">
        <v>0.06</v>
      </c>
      <c r="Q68" s="14">
        <v>1.5</v>
      </c>
      <c r="R68" s="14">
        <v>1.5</v>
      </c>
      <c r="S68" s="14">
        <v>0.95</v>
      </c>
      <c r="T68" s="14">
        <v>4.3499999999999997E-2</v>
      </c>
      <c r="U68" s="14">
        <v>9.1999999999999998E-2</v>
      </c>
      <c r="V68" s="14">
        <v>530</v>
      </c>
      <c r="W68" s="14">
        <v>1200</v>
      </c>
      <c r="X68" s="14">
        <f>2200+180</f>
        <v>2380</v>
      </c>
      <c r="Y68" s="14">
        <f t="shared" si="5"/>
        <v>13043.478260869566</v>
      </c>
      <c r="Z68" s="14">
        <v>8</v>
      </c>
      <c r="AA68" s="14">
        <v>1.14E-2</v>
      </c>
      <c r="AB68" s="21">
        <f t="shared" si="2"/>
        <v>11.4</v>
      </c>
      <c r="AC68" s="14">
        <v>1.425</v>
      </c>
      <c r="AD68" s="14">
        <v>180</v>
      </c>
      <c r="AE68" s="14">
        <v>390</v>
      </c>
      <c r="AF68" s="14">
        <f t="shared" si="8"/>
        <v>570</v>
      </c>
      <c r="AG68" s="16">
        <v>4137.9310344827591</v>
      </c>
      <c r="AH68" s="27">
        <v>4239.130434782609</v>
      </c>
    </row>
    <row r="69" spans="1:34">
      <c r="A69" s="26">
        <v>2013</v>
      </c>
      <c r="B69" s="14" t="s">
        <v>3</v>
      </c>
      <c r="C69" s="14" t="s">
        <v>58</v>
      </c>
      <c r="D69" s="14" t="s">
        <v>28</v>
      </c>
      <c r="E69" s="14" t="s">
        <v>61</v>
      </c>
      <c r="F69" s="14" t="s">
        <v>68</v>
      </c>
      <c r="G69" s="4" t="s">
        <v>67</v>
      </c>
      <c r="H69" s="4" t="s">
        <v>65</v>
      </c>
      <c r="I69" s="15">
        <v>0.3</v>
      </c>
      <c r="J69" s="14">
        <v>19.100000000000001</v>
      </c>
      <c r="K69" s="14">
        <v>7.35</v>
      </c>
      <c r="L69" s="14" t="s">
        <v>5</v>
      </c>
      <c r="M69" s="14">
        <v>2.4500000000000002</v>
      </c>
      <c r="N69" s="14">
        <v>9.75</v>
      </c>
      <c r="O69" s="14">
        <v>7.95</v>
      </c>
      <c r="P69" s="14">
        <v>0.05</v>
      </c>
      <c r="Q69" s="14">
        <v>0.95</v>
      </c>
      <c r="R69" s="14">
        <v>1.5</v>
      </c>
      <c r="S69" s="14">
        <v>0.95</v>
      </c>
      <c r="T69" s="14">
        <v>7.0500000000000007E-2</v>
      </c>
      <c r="U69" s="14">
        <v>0.15000000000000002</v>
      </c>
      <c r="V69" s="14">
        <v>4000</v>
      </c>
      <c r="W69" s="14">
        <v>9000</v>
      </c>
      <c r="X69" s="14">
        <v>1200</v>
      </c>
      <c r="Y69" s="14">
        <f t="shared" si="5"/>
        <v>59999.999999999993</v>
      </c>
      <c r="Z69" s="14">
        <v>5</v>
      </c>
      <c r="AA69" s="14">
        <v>4.2299999999999997E-2</v>
      </c>
      <c r="AB69" s="21">
        <f t="shared" si="2"/>
        <v>42.3</v>
      </c>
      <c r="AC69" s="14">
        <v>8.4599999999999991</v>
      </c>
      <c r="AD69" s="14">
        <v>500</v>
      </c>
      <c r="AE69" s="14">
        <v>1100</v>
      </c>
      <c r="AF69" s="14">
        <f t="shared" si="8"/>
        <v>1600</v>
      </c>
      <c r="AG69" s="16">
        <v>7092.1985815602829</v>
      </c>
      <c r="AH69" s="27">
        <v>7333.3333333333321</v>
      </c>
    </row>
    <row r="70" spans="1:34">
      <c r="A70" s="26">
        <v>2014</v>
      </c>
      <c r="B70" s="14" t="s">
        <v>1</v>
      </c>
      <c r="C70" s="14" t="s">
        <v>58</v>
      </c>
      <c r="D70" s="14" t="s">
        <v>28</v>
      </c>
      <c r="E70" s="14" t="s">
        <v>61</v>
      </c>
      <c r="F70" s="4" t="s">
        <v>66</v>
      </c>
      <c r="G70" s="4" t="s">
        <v>64</v>
      </c>
      <c r="H70" s="4" t="s">
        <v>65</v>
      </c>
      <c r="I70" s="15">
        <v>0.97</v>
      </c>
      <c r="J70" s="14">
        <v>16.2</v>
      </c>
      <c r="K70" s="14">
        <v>7.25</v>
      </c>
      <c r="L70" s="14">
        <v>0.6</v>
      </c>
      <c r="M70" s="14">
        <v>3.9000000000000004</v>
      </c>
      <c r="N70" s="14">
        <v>9.15</v>
      </c>
      <c r="O70" s="14">
        <v>6.55</v>
      </c>
      <c r="P70" s="14">
        <v>3.7499999999999999E-2</v>
      </c>
      <c r="Q70" s="14">
        <v>1.8</v>
      </c>
      <c r="R70" s="14">
        <v>10</v>
      </c>
      <c r="S70" s="14">
        <v>7.1499999999999995</v>
      </c>
      <c r="T70" s="14">
        <v>0.184</v>
      </c>
      <c r="U70" s="14">
        <v>0.48</v>
      </c>
      <c r="V70" s="14">
        <v>3500</v>
      </c>
      <c r="W70" s="14">
        <v>10000</v>
      </c>
      <c r="X70" s="14">
        <v>180</v>
      </c>
      <c r="Y70" s="14">
        <f t="shared" si="5"/>
        <v>20833.333333333336</v>
      </c>
      <c r="Z70" s="14">
        <v>14</v>
      </c>
      <c r="AA70" s="14">
        <v>0.13400000000000001</v>
      </c>
      <c r="AB70" s="21">
        <f t="shared" si="2"/>
        <v>134</v>
      </c>
      <c r="AC70" s="14">
        <v>9.57</v>
      </c>
      <c r="AD70" s="14">
        <v>390</v>
      </c>
      <c r="AE70" s="14">
        <v>1100</v>
      </c>
      <c r="AF70" s="14">
        <f t="shared" si="8"/>
        <v>1490</v>
      </c>
      <c r="AG70" s="16">
        <v>2119.5652173913045</v>
      </c>
      <c r="AH70" s="27">
        <v>2291.666666666667</v>
      </c>
    </row>
    <row r="71" spans="1:34">
      <c r="A71" s="26">
        <v>2014</v>
      </c>
      <c r="B71" s="14" t="s">
        <v>2</v>
      </c>
      <c r="C71" s="14" t="s">
        <v>58</v>
      </c>
      <c r="D71" s="14" t="s">
        <v>28</v>
      </c>
      <c r="E71" s="14" t="s">
        <v>61</v>
      </c>
      <c r="F71" s="4" t="s">
        <v>66</v>
      </c>
      <c r="G71" s="4" t="s">
        <v>64</v>
      </c>
      <c r="H71" s="4" t="s">
        <v>65</v>
      </c>
      <c r="I71" s="15">
        <v>0.64</v>
      </c>
      <c r="J71" s="14">
        <v>19.2</v>
      </c>
      <c r="K71" s="14">
        <v>7.55</v>
      </c>
      <c r="L71" s="14">
        <v>0.5</v>
      </c>
      <c r="M71" s="14">
        <v>2.6</v>
      </c>
      <c r="N71" s="14">
        <v>9.5500000000000007</v>
      </c>
      <c r="O71" s="14">
        <v>7.1999999999999993</v>
      </c>
      <c r="P71" s="14">
        <v>0.04</v>
      </c>
      <c r="Q71" s="14">
        <v>1.1000000000000001</v>
      </c>
      <c r="R71" s="14">
        <v>3.5</v>
      </c>
      <c r="S71" s="14">
        <v>2.2999999999999998</v>
      </c>
      <c r="T71" s="14">
        <v>6.5500000000000003E-2</v>
      </c>
      <c r="U71" s="14">
        <v>0.185</v>
      </c>
      <c r="V71" s="14">
        <v>2000</v>
      </c>
      <c r="W71" s="14">
        <v>5600</v>
      </c>
      <c r="X71" s="14">
        <v>350</v>
      </c>
      <c r="Y71" s="14">
        <f t="shared" ref="Y71:Y86" si="9">W71/U71</f>
        <v>30270.27027027027</v>
      </c>
      <c r="Z71" s="14">
        <v>3</v>
      </c>
      <c r="AA71" s="14">
        <v>4.7700000000000006E-2</v>
      </c>
      <c r="AB71" s="21">
        <f t="shared" si="2"/>
        <v>47.7</v>
      </c>
      <c r="AC71" s="14">
        <v>15.9</v>
      </c>
      <c r="AD71" s="14">
        <v>480</v>
      </c>
      <c r="AE71" s="14">
        <v>1400</v>
      </c>
      <c r="AF71" s="14">
        <f t="shared" si="8"/>
        <v>1880</v>
      </c>
      <c r="AG71" s="16">
        <v>7328.2442748091598</v>
      </c>
      <c r="AH71" s="27">
        <v>7567.5675675675675</v>
      </c>
    </row>
    <row r="72" spans="1:34">
      <c r="A72" s="26">
        <v>2014</v>
      </c>
      <c r="B72" s="14" t="s">
        <v>2</v>
      </c>
      <c r="C72" s="14" t="s">
        <v>58</v>
      </c>
      <c r="D72" s="14" t="s">
        <v>28</v>
      </c>
      <c r="E72" s="14" t="s">
        <v>61</v>
      </c>
      <c r="F72" s="14" t="s">
        <v>68</v>
      </c>
      <c r="G72" s="4" t="s">
        <v>67</v>
      </c>
      <c r="H72" s="4" t="s">
        <v>65</v>
      </c>
      <c r="I72" s="15">
        <v>0.64</v>
      </c>
      <c r="J72" s="14">
        <v>19.2</v>
      </c>
      <c r="K72" s="14">
        <v>7.55</v>
      </c>
      <c r="L72" s="14">
        <v>0.5</v>
      </c>
      <c r="M72" s="14">
        <v>2.6</v>
      </c>
      <c r="N72" s="14">
        <v>9.5500000000000007</v>
      </c>
      <c r="O72" s="14">
        <v>7.1999999999999993</v>
      </c>
      <c r="P72" s="14">
        <v>0.04</v>
      </c>
      <c r="Q72" s="14">
        <v>1.1000000000000001</v>
      </c>
      <c r="R72" s="14">
        <v>3.5</v>
      </c>
      <c r="S72" s="14">
        <v>2.2999999999999998</v>
      </c>
      <c r="T72" s="14">
        <v>6.5500000000000003E-2</v>
      </c>
      <c r="U72" s="14">
        <v>0.185</v>
      </c>
      <c r="V72" s="14">
        <v>2000</v>
      </c>
      <c r="W72" s="14">
        <v>5600</v>
      </c>
      <c r="X72" s="14">
        <v>350</v>
      </c>
      <c r="Y72" s="14">
        <f t="shared" si="9"/>
        <v>30270.27027027027</v>
      </c>
      <c r="Z72" s="14">
        <v>3</v>
      </c>
      <c r="AA72" s="14">
        <v>4.7700000000000006E-2</v>
      </c>
      <c r="AB72" s="21">
        <f t="shared" ref="AB72:AB86" si="10">AA72*1000</f>
        <v>47.7</v>
      </c>
      <c r="AC72" s="14">
        <v>15.9</v>
      </c>
      <c r="AD72" s="14">
        <v>480</v>
      </c>
      <c r="AE72" s="14">
        <v>1400</v>
      </c>
      <c r="AF72" s="14">
        <f t="shared" si="8"/>
        <v>1880</v>
      </c>
      <c r="AG72" s="16">
        <v>7328.2442748091598</v>
      </c>
      <c r="AH72" s="27">
        <v>7567.5675675675675</v>
      </c>
    </row>
    <row r="73" spans="1:34">
      <c r="A73" s="26">
        <v>2015</v>
      </c>
      <c r="B73" s="14" t="s">
        <v>2</v>
      </c>
      <c r="C73" s="14" t="s">
        <v>58</v>
      </c>
      <c r="D73" s="14" t="s">
        <v>29</v>
      </c>
      <c r="E73" s="14" t="s">
        <v>61</v>
      </c>
      <c r="F73" s="4" t="s">
        <v>66</v>
      </c>
      <c r="G73" s="4" t="s">
        <v>64</v>
      </c>
      <c r="H73" s="4" t="s">
        <v>65</v>
      </c>
      <c r="I73" s="15">
        <v>0.32</v>
      </c>
      <c r="J73" s="14">
        <v>22.5</v>
      </c>
      <c r="K73" s="14">
        <v>7.8</v>
      </c>
      <c r="L73" s="14" t="s">
        <v>5</v>
      </c>
      <c r="M73" s="14">
        <v>3.55</v>
      </c>
      <c r="N73" s="14">
        <v>10.199999999999999</v>
      </c>
      <c r="O73" s="14">
        <v>8.5</v>
      </c>
      <c r="P73" s="14">
        <v>0.05</v>
      </c>
      <c r="Q73" s="14">
        <v>1.1499999999999999</v>
      </c>
      <c r="R73" s="14">
        <v>2.5</v>
      </c>
      <c r="S73" s="14">
        <v>2.75</v>
      </c>
      <c r="T73" s="14">
        <v>2.9500000000000002E-2</v>
      </c>
      <c r="U73" s="14">
        <v>0.1115</v>
      </c>
      <c r="V73" s="14">
        <v>2000</v>
      </c>
      <c r="W73" s="14">
        <v>8000</v>
      </c>
      <c r="X73" s="14">
        <v>280</v>
      </c>
      <c r="Y73" s="14">
        <f t="shared" si="9"/>
        <v>71748.87892376681</v>
      </c>
      <c r="Z73" s="14">
        <v>24</v>
      </c>
      <c r="AA73" s="14">
        <v>0.17</v>
      </c>
      <c r="AB73" s="21">
        <f t="shared" si="10"/>
        <v>170</v>
      </c>
      <c r="AC73" s="14">
        <v>7.08</v>
      </c>
      <c r="AD73" s="14">
        <v>220</v>
      </c>
      <c r="AE73" s="14">
        <v>850</v>
      </c>
      <c r="AF73" s="14">
        <f t="shared" si="8"/>
        <v>1070</v>
      </c>
      <c r="AG73" s="16">
        <v>7457.6271186440672</v>
      </c>
      <c r="AH73" s="27">
        <v>7623.3183856502237</v>
      </c>
    </row>
    <row r="74" spans="1:34">
      <c r="A74" s="26">
        <v>2015</v>
      </c>
      <c r="B74" s="14" t="s">
        <v>3</v>
      </c>
      <c r="C74" s="14" t="s">
        <v>58</v>
      </c>
      <c r="D74" s="14" t="s">
        <v>29</v>
      </c>
      <c r="E74" s="14" t="s">
        <v>61</v>
      </c>
      <c r="F74" s="14" t="s">
        <v>62</v>
      </c>
      <c r="G74" s="14" t="s">
        <v>73</v>
      </c>
      <c r="H74" s="14" t="s">
        <v>63</v>
      </c>
      <c r="I74" s="15">
        <v>0.48</v>
      </c>
      <c r="J74" s="14">
        <v>12.9</v>
      </c>
      <c r="K74" s="14">
        <v>7.5</v>
      </c>
      <c r="L74" s="14" t="s">
        <v>5</v>
      </c>
      <c r="M74" s="14">
        <v>2.2000000000000002</v>
      </c>
      <c r="N74" s="14">
        <v>10.850000000000001</v>
      </c>
      <c r="O74" s="14">
        <v>6.9</v>
      </c>
      <c r="P74" s="14">
        <v>0.04</v>
      </c>
      <c r="Q74" s="14">
        <v>0.9</v>
      </c>
      <c r="R74" s="14" t="s">
        <v>88</v>
      </c>
      <c r="S74" s="14">
        <v>0.6</v>
      </c>
      <c r="T74" s="14">
        <v>7.7999999999999996E-3</v>
      </c>
      <c r="U74" s="14">
        <v>3.2000000000000001E-2</v>
      </c>
      <c r="V74" s="14">
        <v>680</v>
      </c>
      <c r="W74" s="14">
        <v>2900</v>
      </c>
      <c r="X74" s="14">
        <v>280</v>
      </c>
      <c r="Y74" s="14">
        <f t="shared" si="9"/>
        <v>90625</v>
      </c>
      <c r="Z74" s="14">
        <v>5</v>
      </c>
      <c r="AA74" s="14">
        <v>1.0999999999999999E-2</v>
      </c>
      <c r="AB74" s="21">
        <f t="shared" si="10"/>
        <v>11</v>
      </c>
      <c r="AC74" s="14">
        <v>2.2000000000000002</v>
      </c>
      <c r="AD74" s="14">
        <v>42</v>
      </c>
      <c r="AE74" s="14">
        <v>160</v>
      </c>
      <c r="AF74" s="14">
        <f t="shared" si="8"/>
        <v>202</v>
      </c>
      <c r="AG74" s="16">
        <v>5384.6153846153848</v>
      </c>
      <c r="AH74" s="27">
        <v>5000</v>
      </c>
    </row>
    <row r="75" spans="1:34">
      <c r="A75" s="26">
        <v>2016</v>
      </c>
      <c r="B75" s="14" t="s">
        <v>3</v>
      </c>
      <c r="C75" s="14" t="s">
        <v>58</v>
      </c>
      <c r="D75" s="14" t="s">
        <v>28</v>
      </c>
      <c r="E75" s="14" t="s">
        <v>61</v>
      </c>
      <c r="F75" s="14" t="s">
        <v>62</v>
      </c>
      <c r="G75" s="14" t="s">
        <v>73</v>
      </c>
      <c r="H75" s="14" t="s">
        <v>63</v>
      </c>
      <c r="I75" s="15">
        <v>0.28000000000000003</v>
      </c>
      <c r="J75" s="14">
        <v>16.7</v>
      </c>
      <c r="K75" s="14">
        <v>7.6</v>
      </c>
      <c r="L75" s="14" t="s">
        <v>5</v>
      </c>
      <c r="M75" s="14">
        <v>2.0499999999999998</v>
      </c>
      <c r="N75" s="14">
        <v>10.85</v>
      </c>
      <c r="O75" s="14">
        <v>6.7</v>
      </c>
      <c r="P75" s="14">
        <v>0.04</v>
      </c>
      <c r="Q75" s="14">
        <v>0.85000000000000009</v>
      </c>
      <c r="R75" s="14">
        <v>1.5</v>
      </c>
      <c r="S75" s="14">
        <v>1.2</v>
      </c>
      <c r="T75" s="14">
        <v>4.7000000000000002E-3</v>
      </c>
      <c r="U75" s="14">
        <v>2.6000000000000002E-2</v>
      </c>
      <c r="V75" s="14">
        <v>400</v>
      </c>
      <c r="W75" s="14">
        <v>2400</v>
      </c>
      <c r="X75" s="14">
        <v>160</v>
      </c>
      <c r="Y75" s="14">
        <f t="shared" si="9"/>
        <v>92307.692307692298</v>
      </c>
      <c r="Z75" s="14">
        <v>12</v>
      </c>
      <c r="AA75" s="14">
        <v>9.5999999999999992E-3</v>
      </c>
      <c r="AB75" s="21">
        <f t="shared" si="10"/>
        <v>9.6</v>
      </c>
      <c r="AC75" s="14">
        <v>0.79999999999999993</v>
      </c>
      <c r="AD75" s="14">
        <v>59</v>
      </c>
      <c r="AE75" s="14">
        <v>300</v>
      </c>
      <c r="AF75" s="14">
        <f t="shared" si="8"/>
        <v>359</v>
      </c>
      <c r="AG75" s="16">
        <v>12553.191489361701</v>
      </c>
      <c r="AH75" s="27">
        <v>11538.461538461537</v>
      </c>
    </row>
    <row r="76" spans="1:34">
      <c r="A76" s="26">
        <v>2017</v>
      </c>
      <c r="B76" s="14" t="s">
        <v>2</v>
      </c>
      <c r="C76" s="14" t="s">
        <v>58</v>
      </c>
      <c r="D76" s="14" t="s">
        <v>28</v>
      </c>
      <c r="E76" s="14" t="s">
        <v>61</v>
      </c>
      <c r="F76" s="14" t="s">
        <v>62</v>
      </c>
      <c r="G76" s="14" t="s">
        <v>73</v>
      </c>
      <c r="H76" s="14" t="s">
        <v>63</v>
      </c>
      <c r="I76" s="15">
        <v>0.3</v>
      </c>
      <c r="J76" s="14">
        <v>20.100000000000001</v>
      </c>
      <c r="K76" s="14">
        <v>7.3</v>
      </c>
      <c r="L76" s="14" t="s">
        <v>5</v>
      </c>
      <c r="M76" s="14">
        <v>3.2</v>
      </c>
      <c r="N76" s="14">
        <v>10.199999999999999</v>
      </c>
      <c r="O76" s="14">
        <v>7.8</v>
      </c>
      <c r="P76" s="14">
        <v>0.04</v>
      </c>
      <c r="Q76" s="14">
        <v>1.3</v>
      </c>
      <c r="R76" s="14">
        <v>3</v>
      </c>
      <c r="S76" s="14">
        <v>2.7</v>
      </c>
      <c r="T76" s="14">
        <v>1.7000000000000001E-2</v>
      </c>
      <c r="U76" s="14">
        <v>0.11</v>
      </c>
      <c r="V76" s="14">
        <v>670</v>
      </c>
      <c r="W76" s="14">
        <v>5200</v>
      </c>
      <c r="X76" s="14">
        <f>310+11</f>
        <v>321</v>
      </c>
      <c r="Y76" s="14">
        <f t="shared" si="9"/>
        <v>47272.727272727272</v>
      </c>
      <c r="Z76" s="14">
        <v>4</v>
      </c>
      <c r="AA76" s="14">
        <v>4.4999999999999997E-3</v>
      </c>
      <c r="AB76" s="21">
        <f t="shared" si="10"/>
        <v>4.5</v>
      </c>
      <c r="AC76" s="14">
        <v>1.125</v>
      </c>
      <c r="AD76" s="14">
        <v>48</v>
      </c>
      <c r="AE76" s="14">
        <v>280</v>
      </c>
      <c r="AF76" s="14">
        <f t="shared" si="8"/>
        <v>328</v>
      </c>
      <c r="AG76" s="16">
        <v>2823.5294117647059</v>
      </c>
      <c r="AH76" s="27">
        <v>2545.4545454545455</v>
      </c>
    </row>
    <row r="77" spans="1:34">
      <c r="A77" s="26">
        <v>2017</v>
      </c>
      <c r="B77" s="14" t="s">
        <v>3</v>
      </c>
      <c r="C77" s="14" t="s">
        <v>58</v>
      </c>
      <c r="D77" s="14" t="s">
        <v>28</v>
      </c>
      <c r="E77" s="14" t="s">
        <v>61</v>
      </c>
      <c r="F77" s="14" t="s">
        <v>62</v>
      </c>
      <c r="G77" s="14" t="s">
        <v>73</v>
      </c>
      <c r="H77" s="14" t="s">
        <v>63</v>
      </c>
      <c r="I77" s="15">
        <v>0.35</v>
      </c>
      <c r="J77" s="14">
        <v>13.4</v>
      </c>
      <c r="K77" s="14">
        <v>7.3</v>
      </c>
      <c r="L77" s="14" t="s">
        <v>5</v>
      </c>
      <c r="M77" s="14">
        <v>2.2999999999999998</v>
      </c>
      <c r="N77" s="14">
        <v>11.8</v>
      </c>
      <c r="O77" s="14">
        <v>6.9</v>
      </c>
      <c r="P77" s="14">
        <v>0.04</v>
      </c>
      <c r="Q77" s="14">
        <v>0.9</v>
      </c>
      <c r="R77" s="14">
        <v>2</v>
      </c>
      <c r="S77" s="14">
        <v>1.4</v>
      </c>
      <c r="T77" s="14">
        <v>3.3999999999999998E-3</v>
      </c>
      <c r="U77" s="14">
        <v>2.7E-2</v>
      </c>
      <c r="V77" s="14">
        <v>190</v>
      </c>
      <c r="W77" s="14">
        <v>1500</v>
      </c>
      <c r="X77" s="14">
        <v>600</v>
      </c>
      <c r="Y77" s="14">
        <f t="shared" si="9"/>
        <v>55555.555555555555</v>
      </c>
      <c r="Z77" s="14">
        <v>22</v>
      </c>
      <c r="AA77" s="14">
        <v>2.1999999999999999E-2</v>
      </c>
      <c r="AB77" s="21">
        <f t="shared" si="10"/>
        <v>22</v>
      </c>
      <c r="AC77" s="14">
        <v>1</v>
      </c>
      <c r="AD77" s="14">
        <v>21</v>
      </c>
      <c r="AE77" s="14">
        <v>160</v>
      </c>
      <c r="AF77" s="14">
        <f t="shared" si="8"/>
        <v>181</v>
      </c>
      <c r="AG77" s="16">
        <v>6176.4705882352946</v>
      </c>
      <c r="AH77" s="27">
        <v>5925.9259259259261</v>
      </c>
    </row>
    <row r="78" spans="1:34">
      <c r="A78" s="26">
        <v>2018</v>
      </c>
      <c r="B78" s="14" t="s">
        <v>1</v>
      </c>
      <c r="C78" s="14" t="s">
        <v>58</v>
      </c>
      <c r="D78" s="14" t="s">
        <v>28</v>
      </c>
      <c r="E78" s="14" t="s">
        <v>61</v>
      </c>
      <c r="F78" s="14" t="s">
        <v>62</v>
      </c>
      <c r="G78" s="14" t="s">
        <v>73</v>
      </c>
      <c r="H78" s="14" t="s">
        <v>63</v>
      </c>
      <c r="I78" s="15">
        <v>0.53</v>
      </c>
      <c r="J78" s="14">
        <v>21.5</v>
      </c>
      <c r="K78" s="14">
        <v>7</v>
      </c>
      <c r="L78" s="14" t="s">
        <v>5</v>
      </c>
      <c r="M78" s="14">
        <v>2.4</v>
      </c>
      <c r="N78" s="14">
        <v>9.6999999999999993</v>
      </c>
      <c r="O78" s="14">
        <v>8.1</v>
      </c>
      <c r="P78" s="14">
        <v>0.05</v>
      </c>
      <c r="Q78" s="14">
        <v>1</v>
      </c>
      <c r="R78" s="14">
        <v>3</v>
      </c>
      <c r="S78" s="14">
        <v>2.4</v>
      </c>
      <c r="T78" s="14">
        <v>3.7000000000000002E-3</v>
      </c>
      <c r="U78" s="14">
        <v>3.1E-2</v>
      </c>
      <c r="V78" s="14">
        <v>150</v>
      </c>
      <c r="W78" s="14">
        <v>1500</v>
      </c>
      <c r="X78" s="14">
        <v>200</v>
      </c>
      <c r="Y78" s="14">
        <f t="shared" si="9"/>
        <v>48387.096774193546</v>
      </c>
      <c r="Z78" s="14">
        <v>22</v>
      </c>
      <c r="AA78" s="14">
        <v>1.2999999999999999E-2</v>
      </c>
      <c r="AB78" s="21">
        <f t="shared" si="10"/>
        <v>13</v>
      </c>
      <c r="AC78" s="14">
        <v>0.59</v>
      </c>
      <c r="AD78" s="14">
        <v>27</v>
      </c>
      <c r="AE78" s="14">
        <v>260</v>
      </c>
      <c r="AF78" s="14">
        <f t="shared" si="8"/>
        <v>287</v>
      </c>
      <c r="AG78" s="16">
        <v>7297.2972972972966</v>
      </c>
      <c r="AH78" s="27">
        <v>8387.0967741935492</v>
      </c>
    </row>
    <row r="79" spans="1:34">
      <c r="A79" s="26">
        <v>2018</v>
      </c>
      <c r="B79" s="14" t="s">
        <v>2</v>
      </c>
      <c r="C79" s="14" t="s">
        <v>58</v>
      </c>
      <c r="D79" s="14" t="s">
        <v>28</v>
      </c>
      <c r="E79" s="14" t="s">
        <v>61</v>
      </c>
      <c r="F79" s="14" t="s">
        <v>62</v>
      </c>
      <c r="G79" s="14" t="s">
        <v>73</v>
      </c>
      <c r="H79" s="14" t="s">
        <v>63</v>
      </c>
      <c r="I79" s="15">
        <v>0.45</v>
      </c>
      <c r="J79" s="14">
        <v>22.9</v>
      </c>
      <c r="K79" s="14">
        <v>7.4</v>
      </c>
      <c r="L79" s="14">
        <v>0.5</v>
      </c>
      <c r="M79" s="14">
        <v>3.6</v>
      </c>
      <c r="N79" s="14">
        <v>9.6999999999999993</v>
      </c>
      <c r="O79" s="14">
        <v>7.8</v>
      </c>
      <c r="P79" s="14">
        <v>0.05</v>
      </c>
      <c r="Q79" s="14">
        <v>1.4</v>
      </c>
      <c r="R79" s="14">
        <v>3</v>
      </c>
      <c r="S79" s="14">
        <v>2.8</v>
      </c>
      <c r="T79" s="14">
        <v>4.7000000000000002E-3</v>
      </c>
      <c r="U79" s="14">
        <v>0.05</v>
      </c>
      <c r="V79" s="14">
        <v>46</v>
      </c>
      <c r="W79" s="14">
        <v>460</v>
      </c>
      <c r="X79" s="14">
        <v>630</v>
      </c>
      <c r="Y79" s="14">
        <f t="shared" si="9"/>
        <v>9200</v>
      </c>
      <c r="Z79" s="14">
        <v>70</v>
      </c>
      <c r="AA79" s="14">
        <v>0.13</v>
      </c>
      <c r="AB79" s="21">
        <f t="shared" si="10"/>
        <v>130</v>
      </c>
      <c r="AC79" s="14">
        <v>1.86</v>
      </c>
      <c r="AD79" s="14">
        <v>65</v>
      </c>
      <c r="AE79" s="14">
        <v>630</v>
      </c>
      <c r="AF79" s="14">
        <f t="shared" si="8"/>
        <v>695</v>
      </c>
      <c r="AG79" s="16">
        <v>13829.787234042553</v>
      </c>
      <c r="AH79" s="27">
        <v>12600</v>
      </c>
    </row>
    <row r="80" spans="1:34">
      <c r="A80" s="26">
        <v>2019</v>
      </c>
      <c r="B80" s="14" t="s">
        <v>1</v>
      </c>
      <c r="C80" s="14" t="s">
        <v>58</v>
      </c>
      <c r="D80" s="14" t="s">
        <v>28</v>
      </c>
      <c r="E80" s="14" t="s">
        <v>61</v>
      </c>
      <c r="F80" s="4" t="s">
        <v>66</v>
      </c>
      <c r="G80" s="4" t="s">
        <v>64</v>
      </c>
      <c r="H80" s="4" t="s">
        <v>65</v>
      </c>
      <c r="I80" s="15">
        <v>0.5</v>
      </c>
      <c r="J80" s="14">
        <v>20.8</v>
      </c>
      <c r="K80" s="14">
        <v>6.9</v>
      </c>
      <c r="L80" s="14">
        <v>1.1000000000000001</v>
      </c>
      <c r="M80" s="14">
        <v>4.0999999999999996</v>
      </c>
      <c r="N80" s="14">
        <v>10.1</v>
      </c>
      <c r="O80" s="14">
        <v>10.6</v>
      </c>
      <c r="P80" s="14">
        <v>0.06</v>
      </c>
      <c r="Q80" s="14">
        <v>1.4</v>
      </c>
      <c r="R80" s="14">
        <v>10</v>
      </c>
      <c r="S80" s="14">
        <v>9.9</v>
      </c>
      <c r="T80" s="14">
        <v>6.4999999999999997E-3</v>
      </c>
      <c r="U80" s="14">
        <v>7.8E-2</v>
      </c>
      <c r="V80" s="14">
        <v>490</v>
      </c>
      <c r="W80" s="14">
        <v>6500</v>
      </c>
      <c r="X80" s="14">
        <f>270+31</f>
        <v>301</v>
      </c>
      <c r="Y80" s="14">
        <f t="shared" si="9"/>
        <v>83333.333333333328</v>
      </c>
      <c r="Z80" s="14">
        <v>6</v>
      </c>
      <c r="AA80" s="14">
        <v>0.11</v>
      </c>
      <c r="AB80" s="21">
        <f t="shared" si="10"/>
        <v>110</v>
      </c>
      <c r="AC80" s="14">
        <v>18.329999999999998</v>
      </c>
      <c r="AD80" s="14">
        <v>30</v>
      </c>
      <c r="AE80" s="14">
        <v>400</v>
      </c>
      <c r="AF80" s="14">
        <f t="shared" si="8"/>
        <v>430</v>
      </c>
      <c r="AG80" s="16">
        <v>4615.3846153846152</v>
      </c>
      <c r="AH80" s="27">
        <v>5128.2051282051279</v>
      </c>
    </row>
    <row r="81" spans="1:34">
      <c r="A81" s="26">
        <v>2020</v>
      </c>
      <c r="B81" s="14" t="s">
        <v>2</v>
      </c>
      <c r="C81" s="14" t="s">
        <v>58</v>
      </c>
      <c r="D81" s="14" t="s">
        <v>28</v>
      </c>
      <c r="E81" s="14" t="s">
        <v>61</v>
      </c>
      <c r="F81" s="14" t="s">
        <v>62</v>
      </c>
      <c r="G81" s="14" t="s">
        <v>73</v>
      </c>
      <c r="H81" s="14" t="s">
        <v>63</v>
      </c>
      <c r="I81" s="15">
        <v>0.75</v>
      </c>
      <c r="J81" s="14">
        <v>26.3</v>
      </c>
      <c r="K81" s="14">
        <v>7.8</v>
      </c>
      <c r="L81" s="14" t="s">
        <v>5</v>
      </c>
      <c r="M81" s="14">
        <v>2.5</v>
      </c>
      <c r="N81" s="14">
        <v>9.6999999999999993</v>
      </c>
      <c r="O81" s="14">
        <v>7.6</v>
      </c>
      <c r="P81" s="14">
        <v>0.04</v>
      </c>
      <c r="Q81" s="14">
        <v>0.9</v>
      </c>
      <c r="R81" s="14">
        <v>2</v>
      </c>
      <c r="S81" s="14">
        <v>1.8</v>
      </c>
      <c r="T81" s="17" t="s">
        <v>12</v>
      </c>
      <c r="U81" s="14">
        <v>2.4E-2</v>
      </c>
      <c r="V81" s="14">
        <v>12</v>
      </c>
      <c r="W81" s="14">
        <v>240</v>
      </c>
      <c r="X81" s="14">
        <v>160</v>
      </c>
      <c r="Y81" s="14">
        <f t="shared" si="9"/>
        <v>10000</v>
      </c>
      <c r="Z81" s="14">
        <v>116</v>
      </c>
      <c r="AA81" s="14">
        <v>0.12</v>
      </c>
      <c r="AB81" s="21">
        <f t="shared" si="10"/>
        <v>120</v>
      </c>
      <c r="AC81" s="14">
        <v>1.04</v>
      </c>
      <c r="AD81" s="14">
        <v>28</v>
      </c>
      <c r="AE81" s="14">
        <v>510</v>
      </c>
      <c r="AF81" s="14">
        <f t="shared" si="8"/>
        <v>538</v>
      </c>
      <c r="AG81" s="18" t="s">
        <v>90</v>
      </c>
      <c r="AH81" s="27">
        <v>21250</v>
      </c>
    </row>
    <row r="82" spans="1:34">
      <c r="A82" s="26">
        <v>2015</v>
      </c>
      <c r="B82" s="14" t="s">
        <v>1</v>
      </c>
      <c r="C82" s="14" t="s">
        <v>59</v>
      </c>
      <c r="D82" s="14" t="s">
        <v>32</v>
      </c>
      <c r="E82" s="14" t="s">
        <v>61</v>
      </c>
      <c r="F82" s="14" t="s">
        <v>62</v>
      </c>
      <c r="G82" s="14" t="s">
        <v>73</v>
      </c>
      <c r="H82" s="14" t="s">
        <v>63</v>
      </c>
      <c r="I82" s="15">
        <v>0.5</v>
      </c>
      <c r="J82" s="14">
        <v>18.8</v>
      </c>
      <c r="K82" s="14">
        <v>7.7</v>
      </c>
      <c r="L82" s="14">
        <v>0.6</v>
      </c>
      <c r="M82" s="14">
        <v>2.9</v>
      </c>
      <c r="N82" s="14">
        <v>9.5</v>
      </c>
      <c r="O82" s="14">
        <v>5.0999999999999996</v>
      </c>
      <c r="P82" s="14">
        <v>0.03</v>
      </c>
      <c r="Q82" s="14">
        <v>1.2</v>
      </c>
      <c r="R82" s="14">
        <v>2</v>
      </c>
      <c r="S82" s="14">
        <v>1.2</v>
      </c>
      <c r="T82" s="14">
        <v>5.0999999999999997E-2</v>
      </c>
      <c r="U82" s="14">
        <v>0.19</v>
      </c>
      <c r="V82" s="14">
        <v>2600</v>
      </c>
      <c r="W82" s="14">
        <v>10000</v>
      </c>
      <c r="X82" s="14">
        <v>1400</v>
      </c>
      <c r="Y82" s="14">
        <f t="shared" si="9"/>
        <v>52631.57894736842</v>
      </c>
      <c r="Z82" s="14">
        <v>28</v>
      </c>
      <c r="AA82" s="14">
        <v>7.7000000000000002E-3</v>
      </c>
      <c r="AB82" s="21">
        <f t="shared" si="10"/>
        <v>7.7</v>
      </c>
      <c r="AC82" s="14">
        <v>0.28000000000000003</v>
      </c>
      <c r="AD82" s="14">
        <v>98</v>
      </c>
      <c r="AE82" s="14">
        <v>390</v>
      </c>
      <c r="AF82" s="14">
        <f t="shared" si="8"/>
        <v>488</v>
      </c>
      <c r="AG82" s="16">
        <v>1921.5686274509806</v>
      </c>
      <c r="AH82" s="27">
        <v>2052.6315789473683</v>
      </c>
    </row>
    <row r="83" spans="1:34">
      <c r="A83" s="26">
        <v>2016</v>
      </c>
      <c r="B83" s="14" t="s">
        <v>3</v>
      </c>
      <c r="C83" s="14" t="s">
        <v>59</v>
      </c>
      <c r="D83" s="14" t="s">
        <v>31</v>
      </c>
      <c r="E83" s="14" t="s">
        <v>61</v>
      </c>
      <c r="F83" s="14" t="s">
        <v>62</v>
      </c>
      <c r="G83" s="14" t="s">
        <v>73</v>
      </c>
      <c r="H83" s="14" t="s">
        <v>63</v>
      </c>
      <c r="I83" s="15">
        <v>0.41</v>
      </c>
      <c r="J83" s="14">
        <v>14.1</v>
      </c>
      <c r="K83" s="14">
        <v>7.4</v>
      </c>
      <c r="L83" s="14">
        <v>0.5</v>
      </c>
      <c r="M83" s="14">
        <v>2.2999999999999998</v>
      </c>
      <c r="N83" s="14">
        <v>10.5</v>
      </c>
      <c r="O83" s="14">
        <v>4.8</v>
      </c>
      <c r="P83" s="14">
        <v>0.03</v>
      </c>
      <c r="Q83" s="14">
        <v>0.9</v>
      </c>
      <c r="R83" s="14">
        <v>1</v>
      </c>
      <c r="S83" s="14">
        <v>0.9</v>
      </c>
      <c r="T83" s="14">
        <v>4.5999999999999999E-2</v>
      </c>
      <c r="U83" s="14">
        <v>0.25</v>
      </c>
      <c r="V83" s="14">
        <v>380</v>
      </c>
      <c r="W83" s="14">
        <v>2200</v>
      </c>
      <c r="X83" s="14">
        <f>1800+850</f>
        <v>2650</v>
      </c>
      <c r="Y83" s="14">
        <f t="shared" si="9"/>
        <v>8800</v>
      </c>
      <c r="Z83" s="14">
        <v>4</v>
      </c>
      <c r="AA83" s="14">
        <v>1.7000000000000001E-2</v>
      </c>
      <c r="AB83" s="21">
        <f t="shared" si="10"/>
        <v>17</v>
      </c>
      <c r="AC83" s="14">
        <v>4.25</v>
      </c>
      <c r="AD83" s="14">
        <v>300</v>
      </c>
      <c r="AE83" s="14">
        <v>1700</v>
      </c>
      <c r="AF83" s="14">
        <f t="shared" si="8"/>
        <v>2000</v>
      </c>
      <c r="AG83" s="16">
        <v>6521.739130434783</v>
      </c>
      <c r="AH83" s="27">
        <v>6800</v>
      </c>
    </row>
    <row r="84" spans="1:34">
      <c r="A84" s="26">
        <v>2017</v>
      </c>
      <c r="B84" s="14" t="s">
        <v>1</v>
      </c>
      <c r="C84" s="14" t="s">
        <v>59</v>
      </c>
      <c r="D84" s="14" t="s">
        <v>31</v>
      </c>
      <c r="E84" s="14" t="s">
        <v>61</v>
      </c>
      <c r="F84" s="14" t="s">
        <v>62</v>
      </c>
      <c r="G84" s="14" t="s">
        <v>73</v>
      </c>
      <c r="H84" s="14" t="s">
        <v>63</v>
      </c>
      <c r="I84" s="15">
        <v>0.36</v>
      </c>
      <c r="J84" s="14">
        <v>15.1</v>
      </c>
      <c r="K84" s="14">
        <v>7.2</v>
      </c>
      <c r="L84" s="14">
        <v>0.6</v>
      </c>
      <c r="M84" s="14">
        <v>2.7</v>
      </c>
      <c r="N84" s="14">
        <v>10.5</v>
      </c>
      <c r="O84" s="14">
        <v>5.0999999999999996</v>
      </c>
      <c r="P84" s="14">
        <v>0.03</v>
      </c>
      <c r="Q84" s="14">
        <v>1</v>
      </c>
      <c r="R84" s="14">
        <v>2</v>
      </c>
      <c r="S84" s="14">
        <v>1</v>
      </c>
      <c r="T84" s="14">
        <v>1.7999999999999999E-2</v>
      </c>
      <c r="U84" s="14">
        <v>0.13</v>
      </c>
      <c r="V84" s="14">
        <v>270</v>
      </c>
      <c r="W84" s="14">
        <v>2000</v>
      </c>
      <c r="X84" s="14">
        <f>1100+16</f>
        <v>1116</v>
      </c>
      <c r="Y84" s="14">
        <f t="shared" si="9"/>
        <v>15384.615384615385</v>
      </c>
      <c r="Z84" s="14">
        <v>100</v>
      </c>
      <c r="AA84" s="14">
        <v>3.3000000000000002E-2</v>
      </c>
      <c r="AB84" s="21">
        <f t="shared" si="10"/>
        <v>33</v>
      </c>
      <c r="AC84" s="14">
        <v>0.33</v>
      </c>
      <c r="AD84" s="14">
        <v>11</v>
      </c>
      <c r="AE84" s="14">
        <v>69</v>
      </c>
      <c r="AF84" s="14">
        <f t="shared" si="8"/>
        <v>80</v>
      </c>
      <c r="AG84" s="16">
        <v>611.1111111111112</v>
      </c>
      <c r="AH84" s="27">
        <v>530.76923076923072</v>
      </c>
    </row>
    <row r="85" spans="1:34">
      <c r="A85" s="26">
        <v>2020</v>
      </c>
      <c r="B85" s="14" t="s">
        <v>1</v>
      </c>
      <c r="C85" s="14" t="s">
        <v>59</v>
      </c>
      <c r="D85" s="14" t="s">
        <v>31</v>
      </c>
      <c r="E85" s="14" t="s">
        <v>61</v>
      </c>
      <c r="F85" s="4" t="s">
        <v>66</v>
      </c>
      <c r="G85" s="4" t="s">
        <v>64</v>
      </c>
      <c r="H85" s="4" t="s">
        <v>65</v>
      </c>
      <c r="I85" s="15">
        <v>0.35</v>
      </c>
      <c r="J85" s="14">
        <v>17.7</v>
      </c>
      <c r="K85" s="14">
        <v>7.3</v>
      </c>
      <c r="L85" s="14" t="s">
        <v>5</v>
      </c>
      <c r="M85" s="14">
        <v>2.2000000000000002</v>
      </c>
      <c r="N85" s="14">
        <v>9.9</v>
      </c>
      <c r="O85" s="14">
        <v>5.7</v>
      </c>
      <c r="P85" s="14">
        <v>0.03</v>
      </c>
      <c r="Q85" s="14">
        <v>0.9</v>
      </c>
      <c r="R85" s="14">
        <v>1</v>
      </c>
      <c r="S85" s="14">
        <v>0.9</v>
      </c>
      <c r="T85" s="14">
        <v>2.8E-3</v>
      </c>
      <c r="U85" s="14">
        <v>6.0999999999999999E-2</v>
      </c>
      <c r="V85" s="14">
        <v>9.8000000000000007</v>
      </c>
      <c r="W85" s="14">
        <v>200</v>
      </c>
      <c r="X85" s="14">
        <f>140+25</f>
        <v>165</v>
      </c>
      <c r="Y85" s="14">
        <f t="shared" si="9"/>
        <v>3278.688524590164</v>
      </c>
      <c r="Z85" s="14">
        <v>22</v>
      </c>
      <c r="AA85" s="14">
        <v>0.13</v>
      </c>
      <c r="AB85" s="21">
        <f t="shared" si="10"/>
        <v>130</v>
      </c>
      <c r="AC85" s="14">
        <v>5.91</v>
      </c>
      <c r="AD85" s="14">
        <v>27</v>
      </c>
      <c r="AE85" s="14">
        <v>470</v>
      </c>
      <c r="AF85" s="14">
        <f t="shared" si="8"/>
        <v>497</v>
      </c>
      <c r="AG85" s="16">
        <v>9642.8571428571431</v>
      </c>
      <c r="AH85" s="27">
        <v>7704.9180327868853</v>
      </c>
    </row>
    <row r="86" spans="1:34" ht="16" thickBot="1">
      <c r="A86" s="29">
        <v>2020</v>
      </c>
      <c r="B86" s="30" t="s">
        <v>2</v>
      </c>
      <c r="C86" s="30" t="s">
        <v>59</v>
      </c>
      <c r="D86" s="30" t="s">
        <v>31</v>
      </c>
      <c r="E86" s="30" t="s">
        <v>61</v>
      </c>
      <c r="F86" s="38" t="s">
        <v>66</v>
      </c>
      <c r="G86" s="38" t="s">
        <v>64</v>
      </c>
      <c r="H86" s="38" t="s">
        <v>65</v>
      </c>
      <c r="I86" s="31">
        <v>0.3</v>
      </c>
      <c r="J86" s="30">
        <v>21.2</v>
      </c>
      <c r="K86" s="30">
        <v>7.7</v>
      </c>
      <c r="L86" s="30" t="s">
        <v>5</v>
      </c>
      <c r="M86" s="30">
        <v>2.7</v>
      </c>
      <c r="N86" s="30">
        <v>9.5</v>
      </c>
      <c r="O86" s="30">
        <v>5.4</v>
      </c>
      <c r="P86" s="30">
        <v>0.03</v>
      </c>
      <c r="Q86" s="30">
        <v>0.9</v>
      </c>
      <c r="R86" s="30">
        <v>1</v>
      </c>
      <c r="S86" s="30">
        <v>1.2</v>
      </c>
      <c r="T86" s="30">
        <v>4.1000000000000003E-3</v>
      </c>
      <c r="U86" s="30">
        <v>8.5999999999999993E-2</v>
      </c>
      <c r="V86" s="30">
        <v>18</v>
      </c>
      <c r="W86" s="30">
        <v>310</v>
      </c>
      <c r="X86" s="30">
        <f>290+110</f>
        <v>400</v>
      </c>
      <c r="Y86" s="30">
        <f t="shared" si="9"/>
        <v>3604.651162790698</v>
      </c>
      <c r="Z86" s="30">
        <v>67</v>
      </c>
      <c r="AA86" s="30">
        <v>0.71</v>
      </c>
      <c r="AB86" s="39">
        <f t="shared" si="10"/>
        <v>710</v>
      </c>
      <c r="AC86" s="30">
        <v>10.6</v>
      </c>
      <c r="AD86" s="30">
        <v>10</v>
      </c>
      <c r="AE86" s="30">
        <v>220</v>
      </c>
      <c r="AF86" s="30">
        <f t="shared" si="8"/>
        <v>230</v>
      </c>
      <c r="AG86" s="33">
        <v>2439.0243902439024</v>
      </c>
      <c r="AH86" s="35">
        <v>2558.1395348837214</v>
      </c>
    </row>
    <row r="87" spans="1:34">
      <c r="X87" s="2"/>
    </row>
    <row r="89" spans="1:34">
      <c r="A89" s="8" t="s">
        <v>89</v>
      </c>
      <c r="B89" s="9" t="s">
        <v>69</v>
      </c>
    </row>
    <row r="90" spans="1:34">
      <c r="A90" s="10"/>
      <c r="B90" s="9" t="s">
        <v>104</v>
      </c>
    </row>
  </sheetData>
  <mergeCells count="28">
    <mergeCell ref="AD5:AE5"/>
    <mergeCell ref="AG5:AH5"/>
    <mergeCell ref="AA5:AA6"/>
    <mergeCell ref="AC5:AC6"/>
    <mergeCell ref="AF5:AF6"/>
    <mergeCell ref="AB5:AB6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Z5:Z6"/>
    <mergeCell ref="T5:U5"/>
    <mergeCell ref="V5:W5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C23E3-CDF5-42B6-8BE3-A8D6AE607CF3}">
  <dimension ref="A1:AI46"/>
  <sheetViews>
    <sheetView tabSelected="1" topLeftCell="A7" zoomScaleNormal="100" workbookViewId="0">
      <selection activeCell="C18" sqref="C18"/>
    </sheetView>
  </sheetViews>
  <sheetFormatPr defaultColWidth="12.81640625" defaultRowHeight="15.5"/>
  <cols>
    <col min="1" max="3" width="12.81640625" style="3"/>
    <col min="4" max="4" width="13.36328125" style="3" customWidth="1"/>
    <col min="5" max="28" width="12.81640625" style="3"/>
    <col min="29" max="29" width="15.81640625" style="3" bestFit="1" customWidth="1"/>
    <col min="30" max="16384" width="12.81640625" style="3"/>
  </cols>
  <sheetData>
    <row r="1" spans="1:35">
      <c r="A1" s="40" t="s">
        <v>105</v>
      </c>
    </row>
    <row r="2" spans="1:35">
      <c r="A2" s="40" t="s">
        <v>106</v>
      </c>
    </row>
    <row r="3" spans="1:35">
      <c r="A3" s="41" t="s">
        <v>107</v>
      </c>
    </row>
    <row r="4" spans="1:35" ht="16" thickBot="1">
      <c r="A4" s="42" t="s">
        <v>108</v>
      </c>
    </row>
    <row r="5" spans="1:35" s="1" customFormat="1" ht="53.5" customHeight="1">
      <c r="A5" s="60" t="s">
        <v>33</v>
      </c>
      <c r="B5" s="62" t="s">
        <v>81</v>
      </c>
      <c r="C5" s="62" t="s">
        <v>82</v>
      </c>
      <c r="D5" s="62" t="s">
        <v>83</v>
      </c>
      <c r="E5" s="58" t="s">
        <v>60</v>
      </c>
      <c r="F5" s="58" t="s">
        <v>84</v>
      </c>
      <c r="G5" s="56" t="s">
        <v>85</v>
      </c>
      <c r="H5" s="58" t="s">
        <v>86</v>
      </c>
      <c r="I5" s="58" t="s">
        <v>75</v>
      </c>
      <c r="J5" s="58" t="s">
        <v>92</v>
      </c>
      <c r="K5" s="53" t="s">
        <v>0</v>
      </c>
      <c r="L5" s="53" t="s">
        <v>93</v>
      </c>
      <c r="M5" s="53" t="s">
        <v>94</v>
      </c>
      <c r="N5" s="53" t="s">
        <v>95</v>
      </c>
      <c r="O5" s="53" t="s">
        <v>71</v>
      </c>
      <c r="P5" s="53" t="s">
        <v>87</v>
      </c>
      <c r="Q5" s="53" t="s">
        <v>96</v>
      </c>
      <c r="R5" s="53" t="s">
        <v>97</v>
      </c>
      <c r="S5" s="53" t="s">
        <v>98</v>
      </c>
      <c r="T5" s="53" t="s">
        <v>99</v>
      </c>
      <c r="U5" s="53"/>
      <c r="V5" s="53" t="s">
        <v>100</v>
      </c>
      <c r="W5" s="53"/>
      <c r="X5" s="11" t="s">
        <v>101</v>
      </c>
      <c r="Y5" s="11" t="s">
        <v>80</v>
      </c>
      <c r="Z5" s="53" t="s">
        <v>79</v>
      </c>
      <c r="AA5" s="53" t="s">
        <v>72</v>
      </c>
      <c r="AB5" s="53" t="s">
        <v>91</v>
      </c>
      <c r="AC5" s="53" t="s">
        <v>78</v>
      </c>
      <c r="AD5" s="53" t="s">
        <v>102</v>
      </c>
      <c r="AE5" s="53"/>
      <c r="AF5" s="53" t="s">
        <v>103</v>
      </c>
      <c r="AG5" s="53" t="s">
        <v>77</v>
      </c>
      <c r="AH5" s="54"/>
      <c r="AI5" s="24"/>
    </row>
    <row r="6" spans="1:35" s="1" customFormat="1" thickBot="1">
      <c r="A6" s="61"/>
      <c r="B6" s="63"/>
      <c r="C6" s="63"/>
      <c r="D6" s="63"/>
      <c r="E6" s="59"/>
      <c r="F6" s="59"/>
      <c r="G6" s="57"/>
      <c r="H6" s="59"/>
      <c r="I6" s="59"/>
      <c r="J6" s="59"/>
      <c r="K6" s="55"/>
      <c r="L6" s="55"/>
      <c r="M6" s="55"/>
      <c r="N6" s="55"/>
      <c r="O6" s="55"/>
      <c r="P6" s="55"/>
      <c r="Q6" s="55"/>
      <c r="R6" s="55"/>
      <c r="S6" s="55"/>
      <c r="T6" s="12" t="s">
        <v>76</v>
      </c>
      <c r="U6" s="12" t="s">
        <v>74</v>
      </c>
      <c r="V6" s="12" t="s">
        <v>76</v>
      </c>
      <c r="W6" s="12" t="s">
        <v>74</v>
      </c>
      <c r="X6" s="12" t="s">
        <v>74</v>
      </c>
      <c r="Y6" s="12" t="s">
        <v>74</v>
      </c>
      <c r="Z6" s="55"/>
      <c r="AA6" s="55"/>
      <c r="AB6" s="55"/>
      <c r="AC6" s="55"/>
      <c r="AD6" s="12" t="s">
        <v>76</v>
      </c>
      <c r="AE6" s="12" t="s">
        <v>74</v>
      </c>
      <c r="AF6" s="55"/>
      <c r="AG6" s="12" t="s">
        <v>76</v>
      </c>
      <c r="AH6" s="13" t="s">
        <v>74</v>
      </c>
    </row>
    <row r="7" spans="1:35">
      <c r="A7" s="36">
        <v>2017</v>
      </c>
      <c r="B7" s="21" t="s">
        <v>1</v>
      </c>
      <c r="C7" s="21" t="s">
        <v>52</v>
      </c>
      <c r="D7" s="21" t="s">
        <v>34</v>
      </c>
      <c r="E7" s="21" t="s">
        <v>61</v>
      </c>
      <c r="F7" s="21" t="s">
        <v>62</v>
      </c>
      <c r="G7" s="21" t="s">
        <v>73</v>
      </c>
      <c r="H7" s="21" t="s">
        <v>63</v>
      </c>
      <c r="I7" s="22">
        <v>2.4</v>
      </c>
      <c r="J7" s="22">
        <v>21.5</v>
      </c>
      <c r="K7" s="21">
        <v>7.6</v>
      </c>
      <c r="L7" s="21">
        <v>1.1499999999999999</v>
      </c>
      <c r="M7" s="21">
        <v>4.25</v>
      </c>
      <c r="N7" s="21">
        <v>10.15</v>
      </c>
      <c r="O7" s="21">
        <v>7.0500000000000007</v>
      </c>
      <c r="P7" s="21">
        <v>0.04</v>
      </c>
      <c r="Q7" s="21">
        <v>1.65</v>
      </c>
      <c r="R7" s="21">
        <v>5</v>
      </c>
      <c r="S7" s="21">
        <v>4</v>
      </c>
      <c r="T7" s="21">
        <v>5.1000000000000004E-3</v>
      </c>
      <c r="U7" s="21">
        <v>3.3000000000000002E-2</v>
      </c>
      <c r="V7" s="21">
        <v>410</v>
      </c>
      <c r="W7" s="21">
        <v>2900</v>
      </c>
      <c r="X7" s="21">
        <v>27</v>
      </c>
      <c r="Y7" s="23">
        <f t="shared" ref="Y7:Y42" si="0">W7/U7</f>
        <v>87878.787878787873</v>
      </c>
      <c r="Z7" s="21">
        <v>49</v>
      </c>
      <c r="AA7" s="23">
        <v>1.2999999999999999E-2</v>
      </c>
      <c r="AB7" s="21">
        <f>AA7*1000</f>
        <v>13</v>
      </c>
      <c r="AC7" s="23">
        <f t="shared" ref="AC7:AC42" si="1">AB7/Z7</f>
        <v>0.26530612244897961</v>
      </c>
      <c r="AD7" s="21">
        <v>32</v>
      </c>
      <c r="AE7" s="21">
        <v>250</v>
      </c>
      <c r="AF7" s="21">
        <v>282</v>
      </c>
      <c r="AG7" s="23">
        <v>6274.51</v>
      </c>
      <c r="AH7" s="37">
        <v>7575.76</v>
      </c>
    </row>
    <row r="8" spans="1:35">
      <c r="A8" s="26">
        <v>2018</v>
      </c>
      <c r="B8" s="14" t="s">
        <v>1</v>
      </c>
      <c r="C8" s="14" t="s">
        <v>52</v>
      </c>
      <c r="D8" s="14" t="s">
        <v>34</v>
      </c>
      <c r="E8" s="14" t="s">
        <v>61</v>
      </c>
      <c r="F8" s="14" t="s">
        <v>62</v>
      </c>
      <c r="G8" s="14" t="s">
        <v>73</v>
      </c>
      <c r="H8" s="14" t="s">
        <v>63</v>
      </c>
      <c r="I8" s="15">
        <v>3.2</v>
      </c>
      <c r="J8" s="15">
        <v>20.399999999999999</v>
      </c>
      <c r="K8" s="14">
        <v>7.0500000000000007</v>
      </c>
      <c r="L8" s="14">
        <v>0.5</v>
      </c>
      <c r="M8" s="14">
        <v>3.7</v>
      </c>
      <c r="N8" s="14">
        <v>8.4499999999999993</v>
      </c>
      <c r="O8" s="14">
        <v>7.05</v>
      </c>
      <c r="P8" s="14">
        <v>0.04</v>
      </c>
      <c r="Q8" s="14">
        <v>1.6</v>
      </c>
      <c r="R8" s="14">
        <v>5.5</v>
      </c>
      <c r="S8" s="14">
        <v>4.4000000000000004</v>
      </c>
      <c r="T8" s="14">
        <v>4.3999999999999994E-3</v>
      </c>
      <c r="U8" s="14">
        <v>3.85E-2</v>
      </c>
      <c r="V8" s="14">
        <v>320</v>
      </c>
      <c r="W8" s="14">
        <v>3000</v>
      </c>
      <c r="X8" s="14">
        <f>2.3+110</f>
        <v>112.3</v>
      </c>
      <c r="Y8" s="16">
        <f t="shared" si="0"/>
        <v>77922.077922077922</v>
      </c>
      <c r="Z8" s="14">
        <v>8</v>
      </c>
      <c r="AA8" s="16">
        <v>2.2000000000000001E-3</v>
      </c>
      <c r="AB8" s="14">
        <f t="shared" ref="AB8:AB42" si="2">AA8*1000</f>
        <v>2.2000000000000002</v>
      </c>
      <c r="AC8" s="16">
        <f t="shared" si="1"/>
        <v>0.27500000000000002</v>
      </c>
      <c r="AD8" s="14">
        <v>56</v>
      </c>
      <c r="AE8" s="14">
        <v>330</v>
      </c>
      <c r="AF8" s="14">
        <v>386</v>
      </c>
      <c r="AG8" s="16">
        <v>12727.27</v>
      </c>
      <c r="AH8" s="27">
        <v>8571.43</v>
      </c>
    </row>
    <row r="9" spans="1:35" ht="31">
      <c r="A9" s="26">
        <v>2019</v>
      </c>
      <c r="B9" s="14" t="s">
        <v>2</v>
      </c>
      <c r="C9" s="14" t="s">
        <v>52</v>
      </c>
      <c r="D9" s="14" t="s">
        <v>35</v>
      </c>
      <c r="E9" s="14" t="s">
        <v>61</v>
      </c>
      <c r="F9" s="4" t="s">
        <v>66</v>
      </c>
      <c r="G9" s="4" t="s">
        <v>64</v>
      </c>
      <c r="H9" s="4" t="s">
        <v>65</v>
      </c>
      <c r="I9" s="15">
        <v>2.9</v>
      </c>
      <c r="J9" s="15">
        <v>25.5</v>
      </c>
      <c r="K9" s="14">
        <v>8.4</v>
      </c>
      <c r="L9" s="14">
        <v>1.4</v>
      </c>
      <c r="M9" s="14">
        <v>4.9000000000000004</v>
      </c>
      <c r="N9" s="14">
        <v>8.9</v>
      </c>
      <c r="O9" s="14">
        <v>7.7</v>
      </c>
      <c r="P9" s="14">
        <v>0.04</v>
      </c>
      <c r="Q9" s="14">
        <v>2.4</v>
      </c>
      <c r="R9" s="14">
        <v>2</v>
      </c>
      <c r="S9" s="14">
        <v>2</v>
      </c>
      <c r="T9" s="14">
        <v>1.2999999999999999E-3</v>
      </c>
      <c r="U9" s="14">
        <v>1.4999999999999999E-2</v>
      </c>
      <c r="V9" s="14">
        <v>200</v>
      </c>
      <c r="W9" s="14">
        <v>2900</v>
      </c>
      <c r="X9" s="14">
        <v>280</v>
      </c>
      <c r="Y9" s="16">
        <f t="shared" si="0"/>
        <v>193333.33333333334</v>
      </c>
      <c r="Z9" s="14">
        <v>21</v>
      </c>
      <c r="AA9" s="16">
        <v>3.5999999999999997E-2</v>
      </c>
      <c r="AB9" s="14">
        <f t="shared" si="2"/>
        <v>36</v>
      </c>
      <c r="AC9" s="16">
        <f t="shared" si="1"/>
        <v>1.7142857142857142</v>
      </c>
      <c r="AD9" s="14">
        <v>31</v>
      </c>
      <c r="AE9" s="14">
        <v>400</v>
      </c>
      <c r="AF9" s="14">
        <v>431</v>
      </c>
      <c r="AG9" s="16">
        <v>23846.15</v>
      </c>
      <c r="AH9" s="27">
        <v>26666.666666666668</v>
      </c>
      <c r="AI9" s="7"/>
    </row>
    <row r="10" spans="1:35">
      <c r="A10" s="26">
        <v>2020</v>
      </c>
      <c r="B10" s="14" t="s">
        <v>1</v>
      </c>
      <c r="C10" s="14" t="s">
        <v>52</v>
      </c>
      <c r="D10" s="14" t="s">
        <v>34</v>
      </c>
      <c r="E10" s="14" t="s">
        <v>61</v>
      </c>
      <c r="F10" s="14" t="s">
        <v>62</v>
      </c>
      <c r="G10" s="14" t="s">
        <v>73</v>
      </c>
      <c r="H10" s="14" t="s">
        <v>63</v>
      </c>
      <c r="I10" s="15">
        <v>0.2</v>
      </c>
      <c r="J10" s="15">
        <v>20</v>
      </c>
      <c r="K10" s="14">
        <v>7.45</v>
      </c>
      <c r="L10" s="14">
        <v>0.6</v>
      </c>
      <c r="M10" s="14">
        <v>3.75</v>
      </c>
      <c r="N10" s="14">
        <v>8.6000000000000014</v>
      </c>
      <c r="O10" s="14">
        <v>7.5</v>
      </c>
      <c r="P10" s="14">
        <v>0.04</v>
      </c>
      <c r="Q10" s="14">
        <v>1.75</v>
      </c>
      <c r="R10" s="14">
        <v>3.5</v>
      </c>
      <c r="S10" s="14">
        <v>3.6500000000000004</v>
      </c>
      <c r="T10" s="14">
        <v>2.3E-3</v>
      </c>
      <c r="U10" s="14">
        <v>2.5000000000000001E-2</v>
      </c>
      <c r="V10" s="14">
        <v>28</v>
      </c>
      <c r="W10" s="14">
        <v>510</v>
      </c>
      <c r="X10" s="14">
        <f>16+330</f>
        <v>346</v>
      </c>
      <c r="Y10" s="16">
        <f t="shared" si="0"/>
        <v>20400</v>
      </c>
      <c r="Z10" s="14">
        <v>12</v>
      </c>
      <c r="AA10" s="16">
        <v>4.7000000000000002E-3</v>
      </c>
      <c r="AB10" s="14">
        <f t="shared" si="2"/>
        <v>4.7</v>
      </c>
      <c r="AC10" s="16">
        <f t="shared" si="1"/>
        <v>0.39166666666666666</v>
      </c>
      <c r="AD10" s="17" t="s">
        <v>36</v>
      </c>
      <c r="AE10" s="14">
        <v>110</v>
      </c>
      <c r="AF10" s="14">
        <v>110</v>
      </c>
      <c r="AG10" s="25" t="s">
        <v>90</v>
      </c>
      <c r="AH10" s="27">
        <v>4400</v>
      </c>
      <c r="AI10" s="7"/>
    </row>
    <row r="11" spans="1:35">
      <c r="A11" s="26">
        <v>2021</v>
      </c>
      <c r="B11" s="14" t="s">
        <v>1</v>
      </c>
      <c r="C11" s="14" t="s">
        <v>52</v>
      </c>
      <c r="D11" s="14" t="s">
        <v>34</v>
      </c>
      <c r="E11" s="14" t="s">
        <v>61</v>
      </c>
      <c r="F11" s="14" t="s">
        <v>62</v>
      </c>
      <c r="G11" s="14" t="s">
        <v>73</v>
      </c>
      <c r="H11" s="14" t="s">
        <v>63</v>
      </c>
      <c r="I11" s="15">
        <v>0.5</v>
      </c>
      <c r="J11" s="15">
        <v>21.5</v>
      </c>
      <c r="K11" s="14">
        <v>7.55</v>
      </c>
      <c r="L11" s="14">
        <v>1.2000000000000002</v>
      </c>
      <c r="M11" s="14">
        <v>4.05</v>
      </c>
      <c r="N11" s="14">
        <v>8.9499999999999993</v>
      </c>
      <c r="O11" s="14">
        <v>7.8</v>
      </c>
      <c r="P11" s="14">
        <v>0.05</v>
      </c>
      <c r="Q11" s="14">
        <v>1.75</v>
      </c>
      <c r="R11" s="14">
        <v>6.5</v>
      </c>
      <c r="S11" s="14">
        <v>5.5500000000000007</v>
      </c>
      <c r="T11" s="17" t="s">
        <v>12</v>
      </c>
      <c r="U11" s="14">
        <v>1.95E-2</v>
      </c>
      <c r="V11" s="14">
        <v>99</v>
      </c>
      <c r="W11" s="14">
        <v>2300</v>
      </c>
      <c r="X11" s="14">
        <v>180</v>
      </c>
      <c r="Y11" s="16">
        <f t="shared" si="0"/>
        <v>117948.71794871795</v>
      </c>
      <c r="Z11" s="14">
        <v>110</v>
      </c>
      <c r="AA11" s="16">
        <v>5.7000000000000002E-2</v>
      </c>
      <c r="AB11" s="14">
        <f t="shared" si="2"/>
        <v>57</v>
      </c>
      <c r="AC11" s="16">
        <f t="shared" si="1"/>
        <v>0.51818181818181819</v>
      </c>
      <c r="AD11" s="14">
        <v>12</v>
      </c>
      <c r="AE11" s="14">
        <v>250</v>
      </c>
      <c r="AF11" s="14">
        <v>262</v>
      </c>
      <c r="AG11" s="25" t="s">
        <v>90</v>
      </c>
      <c r="AH11" s="27">
        <v>12820.51282051282</v>
      </c>
      <c r="AI11" s="7"/>
    </row>
    <row r="12" spans="1:35">
      <c r="A12" s="26">
        <v>2021</v>
      </c>
      <c r="B12" s="14" t="s">
        <v>2</v>
      </c>
      <c r="C12" s="14" t="s">
        <v>52</v>
      </c>
      <c r="D12" s="14" t="s">
        <v>34</v>
      </c>
      <c r="E12" s="14" t="s">
        <v>61</v>
      </c>
      <c r="F12" s="14" t="s">
        <v>62</v>
      </c>
      <c r="G12" s="14" t="s">
        <v>73</v>
      </c>
      <c r="H12" s="14" t="s">
        <v>63</v>
      </c>
      <c r="I12" s="15">
        <v>0.5</v>
      </c>
      <c r="J12" s="15">
        <v>22.4</v>
      </c>
      <c r="K12" s="14">
        <v>7.5500000000000007</v>
      </c>
      <c r="L12" s="14">
        <v>0.5</v>
      </c>
      <c r="M12" s="14">
        <v>3.6999999999999997</v>
      </c>
      <c r="N12" s="14">
        <v>9.8500000000000014</v>
      </c>
      <c r="O12" s="14">
        <v>7.7</v>
      </c>
      <c r="P12" s="14">
        <v>4.4999999999999998E-2</v>
      </c>
      <c r="Q12" s="14">
        <v>1.75</v>
      </c>
      <c r="R12" s="14">
        <v>4</v>
      </c>
      <c r="S12" s="14">
        <v>3.15</v>
      </c>
      <c r="T12" s="17" t="s">
        <v>12</v>
      </c>
      <c r="U12" s="14">
        <v>1.2500000000000001E-2</v>
      </c>
      <c r="V12" s="14">
        <v>33</v>
      </c>
      <c r="W12" s="14">
        <v>820</v>
      </c>
      <c r="X12" s="14">
        <v>160</v>
      </c>
      <c r="Y12" s="16">
        <f t="shared" si="0"/>
        <v>65600</v>
      </c>
      <c r="Z12" s="14">
        <v>22</v>
      </c>
      <c r="AA12" s="16">
        <v>5.8999999999999999E-3</v>
      </c>
      <c r="AB12" s="14">
        <f t="shared" si="2"/>
        <v>5.8999999999999995</v>
      </c>
      <c r="AC12" s="16">
        <f t="shared" si="1"/>
        <v>0.26818181818181813</v>
      </c>
      <c r="AD12" s="14">
        <v>16</v>
      </c>
      <c r="AE12" s="14">
        <v>380</v>
      </c>
      <c r="AF12" s="14">
        <v>396</v>
      </c>
      <c r="AG12" s="25" t="s">
        <v>90</v>
      </c>
      <c r="AH12" s="27">
        <v>30400</v>
      </c>
      <c r="AI12" s="7"/>
    </row>
    <row r="13" spans="1:35">
      <c r="A13" s="26">
        <v>2013</v>
      </c>
      <c r="B13" s="14" t="s">
        <v>2</v>
      </c>
      <c r="C13" s="14" t="s">
        <v>53</v>
      </c>
      <c r="D13" s="14" t="s">
        <v>38</v>
      </c>
      <c r="E13" s="14" t="s">
        <v>61</v>
      </c>
      <c r="F13" s="14" t="s">
        <v>62</v>
      </c>
      <c r="G13" s="14" t="s">
        <v>73</v>
      </c>
      <c r="H13" s="14" t="s">
        <v>63</v>
      </c>
      <c r="I13" s="15">
        <v>11.7</v>
      </c>
      <c r="J13" s="15">
        <v>24.6</v>
      </c>
      <c r="K13" s="14">
        <v>7.25</v>
      </c>
      <c r="L13" s="14">
        <v>0.7</v>
      </c>
      <c r="M13" s="14">
        <v>3.15</v>
      </c>
      <c r="N13" s="14">
        <v>8</v>
      </c>
      <c r="O13" s="14">
        <v>5.35</v>
      </c>
      <c r="P13" s="14">
        <v>3.5000000000000003E-2</v>
      </c>
      <c r="Q13" s="14">
        <v>1.5499999999999998</v>
      </c>
      <c r="R13" s="14">
        <v>1.5</v>
      </c>
      <c r="S13" s="14">
        <v>1.25</v>
      </c>
      <c r="T13" s="14">
        <v>9.8500000000000011E-3</v>
      </c>
      <c r="U13" s="14">
        <v>2.3E-2</v>
      </c>
      <c r="V13" s="14">
        <v>200</v>
      </c>
      <c r="W13" s="14">
        <v>470</v>
      </c>
      <c r="X13" s="14">
        <f>1000+18+15</f>
        <v>1033</v>
      </c>
      <c r="Y13" s="16">
        <f t="shared" si="0"/>
        <v>20434.782608695652</v>
      </c>
      <c r="Z13" s="14">
        <v>42</v>
      </c>
      <c r="AA13" s="16">
        <v>3.2799999999999996E-2</v>
      </c>
      <c r="AB13" s="14">
        <f t="shared" si="2"/>
        <v>32.799999999999997</v>
      </c>
      <c r="AC13" s="16">
        <f t="shared" si="1"/>
        <v>0.78095238095238084</v>
      </c>
      <c r="AD13" s="14">
        <v>110</v>
      </c>
      <c r="AE13" s="14">
        <v>230</v>
      </c>
      <c r="AF13" s="14">
        <v>340</v>
      </c>
      <c r="AG13" s="16">
        <v>11167.512690355328</v>
      </c>
      <c r="AH13" s="27">
        <v>10000</v>
      </c>
      <c r="AI13" s="7"/>
    </row>
    <row r="14" spans="1:35">
      <c r="A14" s="26">
        <v>2014</v>
      </c>
      <c r="B14" s="14" t="s">
        <v>1</v>
      </c>
      <c r="C14" s="14" t="s">
        <v>53</v>
      </c>
      <c r="D14" s="14" t="s">
        <v>37</v>
      </c>
      <c r="E14" s="14" t="s">
        <v>61</v>
      </c>
      <c r="F14" s="14" t="s">
        <v>62</v>
      </c>
      <c r="G14" s="14" t="s">
        <v>73</v>
      </c>
      <c r="H14" s="14" t="s">
        <v>63</v>
      </c>
      <c r="I14" s="15">
        <v>12.5</v>
      </c>
      <c r="J14" s="15">
        <v>20</v>
      </c>
      <c r="K14" s="14">
        <v>7.4</v>
      </c>
      <c r="L14" s="14">
        <v>0.5</v>
      </c>
      <c r="M14" s="14">
        <v>3.2</v>
      </c>
      <c r="N14" s="14">
        <v>9.3999999999999986</v>
      </c>
      <c r="O14" s="14">
        <v>3.8499999999999996</v>
      </c>
      <c r="P14" s="14">
        <v>2.7E-2</v>
      </c>
      <c r="Q14" s="14">
        <v>1.25</v>
      </c>
      <c r="R14" s="14">
        <v>1.5</v>
      </c>
      <c r="S14" s="14">
        <v>1</v>
      </c>
      <c r="T14" s="14">
        <v>7.1500000000000001E-3</v>
      </c>
      <c r="U14" s="14">
        <v>1.7999999999999999E-2</v>
      </c>
      <c r="V14" s="14">
        <v>180</v>
      </c>
      <c r="W14" s="14">
        <v>580</v>
      </c>
      <c r="X14" s="14">
        <f>110+9.2</f>
        <v>119.2</v>
      </c>
      <c r="Y14" s="16">
        <f t="shared" si="0"/>
        <v>32222.222222222226</v>
      </c>
      <c r="Z14" s="14">
        <v>135</v>
      </c>
      <c r="AA14" s="16">
        <v>2.1000000000000001E-2</v>
      </c>
      <c r="AB14" s="14">
        <f t="shared" si="2"/>
        <v>21</v>
      </c>
      <c r="AC14" s="16">
        <f t="shared" si="1"/>
        <v>0.15555555555555556</v>
      </c>
      <c r="AD14" s="14">
        <v>62</v>
      </c>
      <c r="AE14" s="14">
        <v>170</v>
      </c>
      <c r="AF14" s="14">
        <v>232</v>
      </c>
      <c r="AG14" s="16">
        <v>8671.3286713286707</v>
      </c>
      <c r="AH14" s="27">
        <v>9444.4444444444453</v>
      </c>
      <c r="AI14" s="7"/>
    </row>
    <row r="15" spans="1:35">
      <c r="A15" s="26">
        <v>2014</v>
      </c>
      <c r="B15" s="14" t="s">
        <v>2</v>
      </c>
      <c r="C15" s="14" t="s">
        <v>53</v>
      </c>
      <c r="D15" s="14" t="s">
        <v>39</v>
      </c>
      <c r="E15" s="14" t="s">
        <v>61</v>
      </c>
      <c r="F15" s="14" t="s">
        <v>62</v>
      </c>
      <c r="G15" s="14" t="s">
        <v>73</v>
      </c>
      <c r="H15" s="14" t="s">
        <v>63</v>
      </c>
      <c r="I15" s="15">
        <v>10.55</v>
      </c>
      <c r="J15" s="15">
        <v>24.1</v>
      </c>
      <c r="K15" s="14">
        <v>7.35</v>
      </c>
      <c r="L15" s="14">
        <v>0.6</v>
      </c>
      <c r="M15" s="14">
        <v>4.2</v>
      </c>
      <c r="N15" s="14">
        <v>7.95</v>
      </c>
      <c r="O15" s="14">
        <v>5.5</v>
      </c>
      <c r="P15" s="14">
        <v>0.03</v>
      </c>
      <c r="Q15" s="14">
        <v>1.6</v>
      </c>
      <c r="R15" s="14">
        <v>2.5</v>
      </c>
      <c r="S15" s="14">
        <v>1.05</v>
      </c>
      <c r="T15" s="14">
        <v>7.4000000000000003E-3</v>
      </c>
      <c r="U15" s="14">
        <v>2.1499999999999998E-2</v>
      </c>
      <c r="V15" s="14">
        <v>1100</v>
      </c>
      <c r="W15" s="14">
        <v>3100</v>
      </c>
      <c r="X15" s="14">
        <f>70+7.3</f>
        <v>77.3</v>
      </c>
      <c r="Y15" s="16">
        <f t="shared" si="0"/>
        <v>144186.04651162791</v>
      </c>
      <c r="Z15" s="14">
        <v>9</v>
      </c>
      <c r="AA15" s="16">
        <v>1.06E-2</v>
      </c>
      <c r="AB15" s="14">
        <f t="shared" si="2"/>
        <v>10.6</v>
      </c>
      <c r="AC15" s="16">
        <f t="shared" si="1"/>
        <v>1.1777777777777778</v>
      </c>
      <c r="AD15" s="14">
        <v>13</v>
      </c>
      <c r="AE15" s="14">
        <v>33</v>
      </c>
      <c r="AF15" s="14">
        <v>46</v>
      </c>
      <c r="AG15" s="16">
        <v>1756.7567567567567</v>
      </c>
      <c r="AH15" s="27">
        <v>1534.8837209302326</v>
      </c>
      <c r="AI15" s="7"/>
    </row>
    <row r="16" spans="1:35">
      <c r="A16" s="26">
        <v>2015</v>
      </c>
      <c r="B16" s="14" t="s">
        <v>1</v>
      </c>
      <c r="C16" s="14" t="s">
        <v>53</v>
      </c>
      <c r="D16" s="14" t="s">
        <v>40</v>
      </c>
      <c r="E16" s="14" t="s">
        <v>61</v>
      </c>
      <c r="F16" s="14" t="s">
        <v>62</v>
      </c>
      <c r="G16" s="14" t="s">
        <v>73</v>
      </c>
      <c r="H16" s="14" t="s">
        <v>63</v>
      </c>
      <c r="I16" s="15">
        <v>8.36</v>
      </c>
      <c r="J16" s="15">
        <v>18.399999999999999</v>
      </c>
      <c r="K16" s="14">
        <v>7.23</v>
      </c>
      <c r="L16" s="14">
        <v>0.82</v>
      </c>
      <c r="M16" s="14">
        <v>2.77</v>
      </c>
      <c r="N16" s="14">
        <v>9.3800000000000008</v>
      </c>
      <c r="O16" s="14">
        <v>4.2</v>
      </c>
      <c r="P16" s="14">
        <v>0.03</v>
      </c>
      <c r="Q16" s="14">
        <v>1.3999999999999997</v>
      </c>
      <c r="R16" s="14">
        <v>1.5</v>
      </c>
      <c r="S16" s="14">
        <v>1.37</v>
      </c>
      <c r="T16" s="14">
        <v>4.8999999999999998E-3</v>
      </c>
      <c r="U16" s="14">
        <v>1.5900000000000001E-2</v>
      </c>
      <c r="V16" s="14">
        <v>270.33</v>
      </c>
      <c r="W16" s="14">
        <v>1046.67</v>
      </c>
      <c r="X16" s="14">
        <f>170+11</f>
        <v>181</v>
      </c>
      <c r="Y16" s="16">
        <f t="shared" si="0"/>
        <v>65828.301886792455</v>
      </c>
      <c r="Z16" s="14">
        <v>77</v>
      </c>
      <c r="AA16" s="16">
        <v>1.0999999999999999E-2</v>
      </c>
      <c r="AB16" s="14">
        <f t="shared" si="2"/>
        <v>11</v>
      </c>
      <c r="AC16" s="16">
        <f t="shared" si="1"/>
        <v>0.14285714285714285</v>
      </c>
      <c r="AD16" s="14">
        <v>31</v>
      </c>
      <c r="AE16" s="14">
        <v>120</v>
      </c>
      <c r="AF16" s="14">
        <v>151</v>
      </c>
      <c r="AG16" s="16">
        <v>6220.7357859531767</v>
      </c>
      <c r="AH16" s="27">
        <v>7531.3807531380753</v>
      </c>
      <c r="AI16" s="7"/>
    </row>
    <row r="17" spans="1:35">
      <c r="A17" s="26">
        <v>2015</v>
      </c>
      <c r="B17" s="14" t="s">
        <v>2</v>
      </c>
      <c r="C17" s="14" t="s">
        <v>53</v>
      </c>
      <c r="D17" s="14" t="s">
        <v>40</v>
      </c>
      <c r="E17" s="14" t="s">
        <v>61</v>
      </c>
      <c r="F17" s="14" t="s">
        <v>62</v>
      </c>
      <c r="G17" s="14" t="s">
        <v>73</v>
      </c>
      <c r="H17" s="14" t="s">
        <v>63</v>
      </c>
      <c r="I17" s="15">
        <v>8.6999999999999993</v>
      </c>
      <c r="J17" s="15">
        <v>20.6</v>
      </c>
      <c r="K17" s="14">
        <v>7.18</v>
      </c>
      <c r="L17" s="14">
        <v>0.55000000000000004</v>
      </c>
      <c r="M17" s="14">
        <v>2.6</v>
      </c>
      <c r="N17" s="14">
        <v>7.97</v>
      </c>
      <c r="O17" s="14">
        <v>5.47</v>
      </c>
      <c r="P17" s="14">
        <v>3.5000000000000003E-2</v>
      </c>
      <c r="Q17" s="14">
        <v>1.17</v>
      </c>
      <c r="R17" s="14">
        <v>1.83</v>
      </c>
      <c r="S17" s="14">
        <v>1.5</v>
      </c>
      <c r="T17" s="14">
        <v>4.7000000000000002E-3</v>
      </c>
      <c r="U17" s="14">
        <v>1.7000000000000001E-2</v>
      </c>
      <c r="V17" s="14">
        <v>253</v>
      </c>
      <c r="W17" s="14">
        <v>1046</v>
      </c>
      <c r="X17" s="14">
        <f>97+160</f>
        <v>257</v>
      </c>
      <c r="Y17" s="16">
        <f t="shared" si="0"/>
        <v>61529.411764705881</v>
      </c>
      <c r="Z17" s="14">
        <v>9</v>
      </c>
      <c r="AA17" s="16">
        <v>8.6E-3</v>
      </c>
      <c r="AB17" s="14">
        <f t="shared" si="2"/>
        <v>8.6</v>
      </c>
      <c r="AC17" s="16">
        <f t="shared" si="1"/>
        <v>0.95555555555555549</v>
      </c>
      <c r="AD17" s="14">
        <v>7.6</v>
      </c>
      <c r="AE17" s="14">
        <v>26</v>
      </c>
      <c r="AF17" s="14">
        <v>33.6</v>
      </c>
      <c r="AG17" s="16">
        <v>1628.5714285714284</v>
      </c>
      <c r="AH17" s="27">
        <v>1514.5631067961165</v>
      </c>
      <c r="AI17" s="7"/>
    </row>
    <row r="18" spans="1:35">
      <c r="A18" s="26">
        <v>2016</v>
      </c>
      <c r="B18" s="14" t="s">
        <v>1</v>
      </c>
      <c r="C18" s="14" t="s">
        <v>53</v>
      </c>
      <c r="D18" s="14" t="s">
        <v>40</v>
      </c>
      <c r="E18" s="14" t="s">
        <v>61</v>
      </c>
      <c r="F18" s="14" t="s">
        <v>62</v>
      </c>
      <c r="G18" s="14" t="s">
        <v>73</v>
      </c>
      <c r="H18" s="14" t="s">
        <v>63</v>
      </c>
      <c r="I18" s="15">
        <v>8.9</v>
      </c>
      <c r="J18" s="15">
        <v>16.100000000000001</v>
      </c>
      <c r="K18" s="14">
        <v>7.17</v>
      </c>
      <c r="L18" s="14">
        <v>0.68</v>
      </c>
      <c r="M18" s="14">
        <v>3.25</v>
      </c>
      <c r="N18" s="14">
        <v>9.65</v>
      </c>
      <c r="O18" s="14">
        <v>4.28</v>
      </c>
      <c r="P18" s="14">
        <v>0.03</v>
      </c>
      <c r="Q18" s="14">
        <v>1.23</v>
      </c>
      <c r="R18" s="14">
        <v>1.67</v>
      </c>
      <c r="S18" s="14">
        <v>1.32</v>
      </c>
      <c r="T18" s="14">
        <v>2.5699999999999998E-3</v>
      </c>
      <c r="U18" s="14">
        <v>1.0800000000000001E-2</v>
      </c>
      <c r="V18" s="14">
        <v>166.5</v>
      </c>
      <c r="W18" s="14">
        <v>811.67</v>
      </c>
      <c r="X18" s="14">
        <v>1.4</v>
      </c>
      <c r="Y18" s="16">
        <f t="shared" si="0"/>
        <v>75154.62962962962</v>
      </c>
      <c r="Z18" s="14">
        <v>22</v>
      </c>
      <c r="AA18" s="16">
        <v>6.4999999999999997E-3</v>
      </c>
      <c r="AB18" s="14">
        <f t="shared" si="2"/>
        <v>6.5</v>
      </c>
      <c r="AC18" s="16">
        <f t="shared" si="1"/>
        <v>0.29545454545454547</v>
      </c>
      <c r="AD18" s="14">
        <v>29</v>
      </c>
      <c r="AE18" s="14">
        <v>230</v>
      </c>
      <c r="AF18" s="14">
        <v>259</v>
      </c>
      <c r="AG18" s="16">
        <v>11298.701298701299</v>
      </c>
      <c r="AH18" s="27">
        <v>21165.644171779139</v>
      </c>
      <c r="AI18" s="7"/>
    </row>
    <row r="19" spans="1:35">
      <c r="A19" s="26">
        <v>2016</v>
      </c>
      <c r="B19" s="14" t="s">
        <v>2</v>
      </c>
      <c r="C19" s="14" t="s">
        <v>53</v>
      </c>
      <c r="D19" s="14" t="s">
        <v>40</v>
      </c>
      <c r="E19" s="14" t="s">
        <v>61</v>
      </c>
      <c r="F19" s="14" t="s">
        <v>62</v>
      </c>
      <c r="G19" s="14" t="s">
        <v>73</v>
      </c>
      <c r="H19" s="14" t="s">
        <v>63</v>
      </c>
      <c r="I19" s="15">
        <v>10.3</v>
      </c>
      <c r="J19" s="15">
        <v>22.1</v>
      </c>
      <c r="K19" s="14">
        <v>7.02</v>
      </c>
      <c r="L19" s="14">
        <v>0.57999999999999996</v>
      </c>
      <c r="M19" s="14">
        <v>5.47</v>
      </c>
      <c r="N19" s="14">
        <v>7.53</v>
      </c>
      <c r="O19" s="14">
        <v>4.88</v>
      </c>
      <c r="P19" s="14">
        <v>0.03</v>
      </c>
      <c r="Q19" s="14">
        <v>2.3000000000000003</v>
      </c>
      <c r="R19" s="14">
        <v>10.33</v>
      </c>
      <c r="S19" s="14">
        <v>6.18</v>
      </c>
      <c r="T19" s="14">
        <v>6.5700000000000003E-3</v>
      </c>
      <c r="U19" s="14">
        <v>3.4999999999999996E-2</v>
      </c>
      <c r="V19" s="14">
        <v>202.67</v>
      </c>
      <c r="W19" s="14">
        <v>1050</v>
      </c>
      <c r="X19" s="14">
        <f>35+46</f>
        <v>81</v>
      </c>
      <c r="Y19" s="16">
        <f t="shared" si="0"/>
        <v>30000.000000000004</v>
      </c>
      <c r="Z19" s="14">
        <v>77</v>
      </c>
      <c r="AA19" s="16">
        <v>7.3999999999999996E-2</v>
      </c>
      <c r="AB19" s="14">
        <f t="shared" si="2"/>
        <v>74</v>
      </c>
      <c r="AC19" s="16">
        <f t="shared" si="1"/>
        <v>0.96103896103896103</v>
      </c>
      <c r="AD19" s="14">
        <v>3</v>
      </c>
      <c r="AE19" s="14">
        <v>18</v>
      </c>
      <c r="AF19" s="14">
        <v>21</v>
      </c>
      <c r="AG19" s="16">
        <v>460.3580562659846</v>
      </c>
      <c r="AH19" s="27">
        <v>514.28571428571433</v>
      </c>
      <c r="AI19" s="7"/>
    </row>
    <row r="20" spans="1:35">
      <c r="A20" s="26">
        <v>2018</v>
      </c>
      <c r="B20" s="14" t="s">
        <v>1</v>
      </c>
      <c r="C20" s="14" t="s">
        <v>53</v>
      </c>
      <c r="D20" s="14" t="s">
        <v>37</v>
      </c>
      <c r="E20" s="14" t="s">
        <v>61</v>
      </c>
      <c r="F20" s="14" t="s">
        <v>62</v>
      </c>
      <c r="G20" s="14" t="s">
        <v>73</v>
      </c>
      <c r="H20" s="14" t="s">
        <v>63</v>
      </c>
      <c r="I20" s="15">
        <v>13.5</v>
      </c>
      <c r="J20" s="15">
        <v>14</v>
      </c>
      <c r="K20" s="14">
        <v>7.1999999999999993</v>
      </c>
      <c r="L20" s="14">
        <v>0.75</v>
      </c>
      <c r="M20" s="14">
        <v>2.75</v>
      </c>
      <c r="N20" s="14">
        <v>9.8000000000000007</v>
      </c>
      <c r="O20" s="14">
        <v>3.7</v>
      </c>
      <c r="P20" s="14">
        <v>0.03</v>
      </c>
      <c r="Q20" s="14">
        <v>1.35</v>
      </c>
      <c r="R20" s="14">
        <v>1</v>
      </c>
      <c r="S20" s="14">
        <v>0.9</v>
      </c>
      <c r="T20" s="17" t="s">
        <v>20</v>
      </c>
      <c r="U20" s="14">
        <v>5.7000000000000002E-3</v>
      </c>
      <c r="V20" s="14">
        <v>29</v>
      </c>
      <c r="W20" s="14">
        <v>250</v>
      </c>
      <c r="X20" s="14" t="s">
        <v>88</v>
      </c>
      <c r="Y20" s="16">
        <f t="shared" si="0"/>
        <v>43859.649122807015</v>
      </c>
      <c r="Z20" s="14">
        <v>280</v>
      </c>
      <c r="AA20" s="16">
        <v>0.11</v>
      </c>
      <c r="AB20" s="14">
        <f t="shared" si="2"/>
        <v>110</v>
      </c>
      <c r="AC20" s="16">
        <f t="shared" si="1"/>
        <v>0.39285714285714285</v>
      </c>
      <c r="AD20" s="14">
        <v>2.2999999999999998</v>
      </c>
      <c r="AE20" s="14">
        <v>23</v>
      </c>
      <c r="AF20" s="14">
        <v>25.3</v>
      </c>
      <c r="AG20" s="25" t="s">
        <v>90</v>
      </c>
      <c r="AH20" s="27">
        <v>4035.0877192982452</v>
      </c>
      <c r="AI20" s="7"/>
    </row>
    <row r="21" spans="1:35">
      <c r="A21" s="26">
        <v>2019</v>
      </c>
      <c r="B21" s="14" t="s">
        <v>1</v>
      </c>
      <c r="C21" s="14" t="s">
        <v>53</v>
      </c>
      <c r="D21" s="14" t="s">
        <v>37</v>
      </c>
      <c r="E21" s="14" t="s">
        <v>61</v>
      </c>
      <c r="F21" s="14" t="s">
        <v>62</v>
      </c>
      <c r="G21" s="14" t="s">
        <v>73</v>
      </c>
      <c r="H21" s="14" t="s">
        <v>63</v>
      </c>
      <c r="I21" s="15">
        <v>13</v>
      </c>
      <c r="J21" s="15">
        <v>14.6</v>
      </c>
      <c r="K21" s="14">
        <v>7.0500000000000007</v>
      </c>
      <c r="L21" s="14">
        <v>0.6</v>
      </c>
      <c r="M21" s="14">
        <v>3.45</v>
      </c>
      <c r="N21" s="14">
        <v>9.8000000000000007</v>
      </c>
      <c r="O21" s="14">
        <v>3.95</v>
      </c>
      <c r="P21" s="14">
        <v>0.03</v>
      </c>
      <c r="Q21" s="14">
        <v>1.65</v>
      </c>
      <c r="R21" s="14">
        <v>1</v>
      </c>
      <c r="S21" s="14">
        <v>1.2000000000000002</v>
      </c>
      <c r="T21" s="17" t="s">
        <v>11</v>
      </c>
      <c r="U21" s="14">
        <v>6.6999999999999994E-3</v>
      </c>
      <c r="V21" s="14">
        <v>89</v>
      </c>
      <c r="W21" s="14">
        <v>1200</v>
      </c>
      <c r="X21" s="14">
        <v>30</v>
      </c>
      <c r="Y21" s="16">
        <f t="shared" si="0"/>
        <v>179104.47761194033</v>
      </c>
      <c r="Z21" s="14">
        <v>130</v>
      </c>
      <c r="AA21" s="16">
        <v>7.1999999999999995E-2</v>
      </c>
      <c r="AB21" s="14">
        <f t="shared" si="2"/>
        <v>72</v>
      </c>
      <c r="AC21" s="16">
        <f t="shared" si="1"/>
        <v>0.55384615384615388</v>
      </c>
      <c r="AD21" s="14">
        <v>8.6</v>
      </c>
      <c r="AE21" s="14">
        <v>100</v>
      </c>
      <c r="AF21" s="14">
        <v>108.6</v>
      </c>
      <c r="AG21" s="25" t="s">
        <v>90</v>
      </c>
      <c r="AH21" s="27">
        <v>14925.37313432836</v>
      </c>
      <c r="AI21" s="7"/>
    </row>
    <row r="22" spans="1:35">
      <c r="A22" s="26">
        <v>2019</v>
      </c>
      <c r="B22" s="14" t="s">
        <v>2</v>
      </c>
      <c r="C22" s="14" t="s">
        <v>53</v>
      </c>
      <c r="D22" s="14" t="s">
        <v>40</v>
      </c>
      <c r="E22" s="14" t="s">
        <v>61</v>
      </c>
      <c r="F22" s="14" t="s">
        <v>62</v>
      </c>
      <c r="G22" s="14" t="s">
        <v>73</v>
      </c>
      <c r="H22" s="14" t="s">
        <v>63</v>
      </c>
      <c r="I22" s="15">
        <v>6.9</v>
      </c>
      <c r="J22" s="15">
        <v>20</v>
      </c>
      <c r="K22" s="14">
        <v>6.9750000000000005</v>
      </c>
      <c r="L22" s="14">
        <v>0.77499999999999991</v>
      </c>
      <c r="M22" s="14">
        <v>3.9250000000000003</v>
      </c>
      <c r="N22" s="14">
        <v>8.9</v>
      </c>
      <c r="O22" s="14">
        <v>5.15</v>
      </c>
      <c r="P22" s="14">
        <v>3.2500000000000001E-2</v>
      </c>
      <c r="Q22" s="14">
        <v>1.75</v>
      </c>
      <c r="R22" s="14">
        <v>4.75</v>
      </c>
      <c r="S22" s="14">
        <v>4.0999999999999996</v>
      </c>
      <c r="T22" s="14">
        <v>4.4999999999999997E-3</v>
      </c>
      <c r="U22" s="14">
        <v>2.3599999999999999E-2</v>
      </c>
      <c r="V22" s="14">
        <v>124.5</v>
      </c>
      <c r="W22" s="14">
        <v>1650</v>
      </c>
      <c r="X22" s="14">
        <v>6.3</v>
      </c>
      <c r="Y22" s="16">
        <f t="shared" si="0"/>
        <v>69915.254237288143</v>
      </c>
      <c r="Z22" s="14">
        <v>90</v>
      </c>
      <c r="AA22" s="16">
        <v>5.8000000000000003E-2</v>
      </c>
      <c r="AB22" s="14">
        <f t="shared" si="2"/>
        <v>58</v>
      </c>
      <c r="AC22" s="16">
        <f t="shared" si="1"/>
        <v>0.64444444444444449</v>
      </c>
      <c r="AD22" s="14">
        <v>3.9</v>
      </c>
      <c r="AE22" s="14">
        <v>53</v>
      </c>
      <c r="AF22" s="14">
        <v>56.9</v>
      </c>
      <c r="AG22" s="16">
        <v>866.66666666666674</v>
      </c>
      <c r="AH22" s="27">
        <v>2245.7627118644068</v>
      </c>
      <c r="AI22" s="7"/>
    </row>
    <row r="23" spans="1:35">
      <c r="A23" s="26">
        <v>2020</v>
      </c>
      <c r="B23" s="14" t="s">
        <v>1</v>
      </c>
      <c r="C23" s="14" t="s">
        <v>53</v>
      </c>
      <c r="D23" s="14" t="s">
        <v>42</v>
      </c>
      <c r="E23" s="14" t="s">
        <v>61</v>
      </c>
      <c r="F23" s="14" t="s">
        <v>62</v>
      </c>
      <c r="G23" s="14" t="s">
        <v>73</v>
      </c>
      <c r="H23" s="14" t="s">
        <v>63</v>
      </c>
      <c r="I23" s="15">
        <v>8.4</v>
      </c>
      <c r="J23" s="15">
        <v>15.8</v>
      </c>
      <c r="K23" s="14">
        <v>6.8</v>
      </c>
      <c r="L23" s="14">
        <v>0.7</v>
      </c>
      <c r="M23" s="14">
        <v>3.3</v>
      </c>
      <c r="N23" s="14">
        <v>5.05</v>
      </c>
      <c r="O23" s="14">
        <v>5.35</v>
      </c>
      <c r="P23" s="14">
        <v>0.03</v>
      </c>
      <c r="Q23" s="14">
        <v>1.2999999999999998</v>
      </c>
      <c r="R23" s="14">
        <v>7</v>
      </c>
      <c r="S23" s="14">
        <v>6.25</v>
      </c>
      <c r="T23" s="14">
        <v>2.2000000000000001E-3</v>
      </c>
      <c r="U23" s="14">
        <v>3.295E-2</v>
      </c>
      <c r="V23" s="14">
        <v>120</v>
      </c>
      <c r="W23" s="14">
        <v>2200</v>
      </c>
      <c r="X23" s="14">
        <f>2.2+5.8</f>
        <v>8</v>
      </c>
      <c r="Y23" s="16">
        <f t="shared" si="0"/>
        <v>66767.830045523515</v>
      </c>
      <c r="Z23" s="14">
        <v>240</v>
      </c>
      <c r="AA23" s="16">
        <v>0.13</v>
      </c>
      <c r="AB23" s="14">
        <f t="shared" si="2"/>
        <v>130</v>
      </c>
      <c r="AC23" s="16">
        <f t="shared" si="1"/>
        <v>0.54166666666666663</v>
      </c>
      <c r="AD23" s="14">
        <v>7.3</v>
      </c>
      <c r="AE23" s="14">
        <v>130</v>
      </c>
      <c r="AF23" s="14">
        <v>137.30000000000001</v>
      </c>
      <c r="AG23" s="16">
        <v>3318.181818181818</v>
      </c>
      <c r="AH23" s="27">
        <v>3945.371775417299</v>
      </c>
      <c r="AI23" s="7"/>
    </row>
    <row r="24" spans="1:35">
      <c r="A24" s="26">
        <v>2021</v>
      </c>
      <c r="B24" s="14" t="s">
        <v>1</v>
      </c>
      <c r="C24" s="14" t="s">
        <v>53</v>
      </c>
      <c r="D24" s="14" t="s">
        <v>41</v>
      </c>
      <c r="E24" s="14" t="s">
        <v>61</v>
      </c>
      <c r="F24" s="14" t="s">
        <v>62</v>
      </c>
      <c r="G24" s="14" t="s">
        <v>73</v>
      </c>
      <c r="H24" s="14" t="s">
        <v>63</v>
      </c>
      <c r="I24" s="15">
        <v>8.65</v>
      </c>
      <c r="J24" s="15">
        <v>16.5</v>
      </c>
      <c r="K24" s="14">
        <v>7.0250000000000004</v>
      </c>
      <c r="L24" s="14">
        <v>0.55000000000000004</v>
      </c>
      <c r="M24" s="14">
        <v>3.4749999999999996</v>
      </c>
      <c r="N24" s="14">
        <v>9.2249999999999996</v>
      </c>
      <c r="O24" s="14">
        <v>4.2750000000000004</v>
      </c>
      <c r="P24" s="14">
        <v>0.03</v>
      </c>
      <c r="Q24" s="14">
        <v>1.7250000000000001</v>
      </c>
      <c r="R24" s="14">
        <v>2.5</v>
      </c>
      <c r="S24" s="14">
        <v>1.8</v>
      </c>
      <c r="T24" s="17" t="s">
        <v>11</v>
      </c>
      <c r="U24" s="14">
        <v>8.5250000000000013E-3</v>
      </c>
      <c r="V24" s="14">
        <v>73</v>
      </c>
      <c r="W24" s="14">
        <v>1900</v>
      </c>
      <c r="X24" s="14">
        <f>40+4</f>
        <v>44</v>
      </c>
      <c r="Y24" s="16">
        <f t="shared" si="0"/>
        <v>222873.90029325511</v>
      </c>
      <c r="Z24" s="14">
        <v>252</v>
      </c>
      <c r="AA24" s="16">
        <v>0.21</v>
      </c>
      <c r="AB24" s="14">
        <f t="shared" si="2"/>
        <v>210</v>
      </c>
      <c r="AC24" s="16">
        <f t="shared" si="1"/>
        <v>0.83333333333333337</v>
      </c>
      <c r="AD24" s="14">
        <v>3.5</v>
      </c>
      <c r="AE24" s="14">
        <v>81</v>
      </c>
      <c r="AF24" s="14">
        <v>84.5</v>
      </c>
      <c r="AG24" s="25" t="s">
        <v>90</v>
      </c>
      <c r="AH24" s="27">
        <v>9501.4662756598227</v>
      </c>
      <c r="AI24" s="7"/>
    </row>
    <row r="25" spans="1:35">
      <c r="A25" s="26">
        <v>2012</v>
      </c>
      <c r="B25" s="14" t="s">
        <v>3</v>
      </c>
      <c r="C25" s="14" t="s">
        <v>54</v>
      </c>
      <c r="D25" s="14" t="s">
        <v>43</v>
      </c>
      <c r="E25" s="14" t="s">
        <v>61</v>
      </c>
      <c r="F25" s="14" t="s">
        <v>62</v>
      </c>
      <c r="G25" s="14" t="s">
        <v>73</v>
      </c>
      <c r="H25" s="14" t="s">
        <v>63</v>
      </c>
      <c r="I25" s="15">
        <v>4</v>
      </c>
      <c r="J25" s="15">
        <v>16.3</v>
      </c>
      <c r="K25" s="14">
        <v>6.9</v>
      </c>
      <c r="L25" s="14">
        <v>1.2</v>
      </c>
      <c r="M25" s="14">
        <v>2.1500000000000004</v>
      </c>
      <c r="N25" s="14">
        <v>9.85</v>
      </c>
      <c r="O25" s="14">
        <v>11.73</v>
      </c>
      <c r="P25" s="14">
        <v>7.0000000000000007E-2</v>
      </c>
      <c r="Q25" s="14">
        <v>0.85</v>
      </c>
      <c r="R25" s="14">
        <v>1</v>
      </c>
      <c r="S25" s="14">
        <v>0.4</v>
      </c>
      <c r="T25" s="14">
        <v>1.6500000000000001E-2</v>
      </c>
      <c r="U25" s="14">
        <v>2.9000000000000001E-2</v>
      </c>
      <c r="V25" s="14">
        <v>69</v>
      </c>
      <c r="W25" s="14">
        <v>110</v>
      </c>
      <c r="X25" s="14">
        <v>8.5</v>
      </c>
      <c r="Y25" s="16">
        <f t="shared" si="0"/>
        <v>3793.1034482758619</v>
      </c>
      <c r="Z25" s="14">
        <v>35</v>
      </c>
      <c r="AA25" s="16">
        <v>4.2000000000000003E-2</v>
      </c>
      <c r="AB25" s="14">
        <f t="shared" si="2"/>
        <v>42</v>
      </c>
      <c r="AC25" s="16">
        <f t="shared" si="1"/>
        <v>1.2</v>
      </c>
      <c r="AD25" s="14">
        <v>17</v>
      </c>
      <c r="AE25" s="14">
        <v>26</v>
      </c>
      <c r="AF25" s="14">
        <v>43</v>
      </c>
      <c r="AG25" s="16">
        <v>1030.3030303030303</v>
      </c>
      <c r="AH25" s="27">
        <v>896.55172413793093</v>
      </c>
      <c r="AI25" s="7"/>
    </row>
    <row r="26" spans="1:35">
      <c r="A26" s="26">
        <v>2012</v>
      </c>
      <c r="B26" s="14" t="s">
        <v>6</v>
      </c>
      <c r="C26" s="14" t="s">
        <v>54</v>
      </c>
      <c r="D26" s="14" t="s">
        <v>43</v>
      </c>
      <c r="E26" s="14" t="s">
        <v>61</v>
      </c>
      <c r="F26" s="14" t="s">
        <v>62</v>
      </c>
      <c r="G26" s="14" t="s">
        <v>73</v>
      </c>
      <c r="H26" s="14" t="s">
        <v>63</v>
      </c>
      <c r="I26" s="15">
        <v>4.0999999999999996</v>
      </c>
      <c r="J26" s="15">
        <v>6.5</v>
      </c>
      <c r="K26" s="14">
        <v>6.6</v>
      </c>
      <c r="L26" s="14">
        <v>0.95</v>
      </c>
      <c r="M26" s="14">
        <v>2</v>
      </c>
      <c r="N26" s="14">
        <v>11.05</v>
      </c>
      <c r="O26" s="14">
        <v>11.585000000000001</v>
      </c>
      <c r="P26" s="14">
        <v>0.06</v>
      </c>
      <c r="Q26" s="14">
        <v>0.55000000000000004</v>
      </c>
      <c r="R26" s="14">
        <v>1</v>
      </c>
      <c r="S26" s="14">
        <v>0.6</v>
      </c>
      <c r="T26" s="14">
        <v>2.0999999999999998E-2</v>
      </c>
      <c r="U26" s="14">
        <v>3.8000000000000006E-2</v>
      </c>
      <c r="V26" s="14">
        <v>66</v>
      </c>
      <c r="W26" s="14">
        <v>100</v>
      </c>
      <c r="X26" s="14" t="s">
        <v>88</v>
      </c>
      <c r="Y26" s="16">
        <f t="shared" si="0"/>
        <v>2631.5789473684208</v>
      </c>
      <c r="Z26" s="14">
        <v>14</v>
      </c>
      <c r="AA26" s="16">
        <v>1.7999999999999999E-2</v>
      </c>
      <c r="AB26" s="14">
        <f t="shared" si="2"/>
        <v>18</v>
      </c>
      <c r="AC26" s="16">
        <f t="shared" si="1"/>
        <v>1.2857142857142858</v>
      </c>
      <c r="AD26" s="17" t="s">
        <v>44</v>
      </c>
      <c r="AE26" s="14" t="s">
        <v>88</v>
      </c>
      <c r="AF26" s="14" t="s">
        <v>88</v>
      </c>
      <c r="AG26" s="25" t="s">
        <v>90</v>
      </c>
      <c r="AH26" s="28" t="s">
        <v>90</v>
      </c>
      <c r="AI26" s="7"/>
    </row>
    <row r="27" spans="1:35">
      <c r="A27" s="26">
        <v>2013</v>
      </c>
      <c r="B27" s="14" t="s">
        <v>1</v>
      </c>
      <c r="C27" s="14" t="s">
        <v>54</v>
      </c>
      <c r="D27" s="14" t="s">
        <v>43</v>
      </c>
      <c r="E27" s="14" t="s">
        <v>61</v>
      </c>
      <c r="F27" s="14" t="s">
        <v>62</v>
      </c>
      <c r="G27" s="14" t="s">
        <v>73</v>
      </c>
      <c r="H27" s="14" t="s">
        <v>63</v>
      </c>
      <c r="I27" s="15">
        <v>3.9</v>
      </c>
      <c r="J27" s="15">
        <v>23.3</v>
      </c>
      <c r="K27" s="14">
        <v>6.85</v>
      </c>
      <c r="L27" s="14" t="s">
        <v>5</v>
      </c>
      <c r="M27" s="14">
        <v>1.75</v>
      </c>
      <c r="N27" s="14">
        <v>9.3000000000000007</v>
      </c>
      <c r="O27" s="14">
        <v>11.7</v>
      </c>
      <c r="P27" s="14">
        <v>0.06</v>
      </c>
      <c r="Q27" s="14">
        <v>0.5</v>
      </c>
      <c r="R27" s="14" t="s">
        <v>88</v>
      </c>
      <c r="S27" s="14">
        <v>0.65</v>
      </c>
      <c r="T27" s="14">
        <v>1.7000000000000001E-2</v>
      </c>
      <c r="U27" s="14">
        <v>3.6500000000000005E-2</v>
      </c>
      <c r="V27" s="14">
        <v>56</v>
      </c>
      <c r="W27" s="14">
        <v>130</v>
      </c>
      <c r="X27" s="14">
        <v>1.7</v>
      </c>
      <c r="Y27" s="16">
        <f t="shared" si="0"/>
        <v>3561.6438356164381</v>
      </c>
      <c r="Z27" s="14">
        <v>182</v>
      </c>
      <c r="AA27" s="16">
        <v>8.5699999999999998E-2</v>
      </c>
      <c r="AB27" s="14">
        <f t="shared" si="2"/>
        <v>85.7</v>
      </c>
      <c r="AC27" s="16">
        <f t="shared" si="1"/>
        <v>0.47087912087912087</v>
      </c>
      <c r="AD27" s="14">
        <v>39</v>
      </c>
      <c r="AE27" s="14">
        <v>81</v>
      </c>
      <c r="AF27" s="14">
        <v>120</v>
      </c>
      <c r="AG27" s="16">
        <v>2294.1176470588234</v>
      </c>
      <c r="AH27" s="27">
        <v>2219.1780821917805</v>
      </c>
      <c r="AI27" s="7"/>
    </row>
    <row r="28" spans="1:35">
      <c r="A28" s="26">
        <v>2013</v>
      </c>
      <c r="B28" s="14" t="s">
        <v>3</v>
      </c>
      <c r="C28" s="14" t="s">
        <v>54</v>
      </c>
      <c r="D28" s="14" t="s">
        <v>43</v>
      </c>
      <c r="E28" s="14" t="s">
        <v>61</v>
      </c>
      <c r="F28" s="14" t="s">
        <v>62</v>
      </c>
      <c r="G28" s="14" t="s">
        <v>73</v>
      </c>
      <c r="H28" s="14" t="s">
        <v>63</v>
      </c>
      <c r="I28" s="15">
        <v>4.8</v>
      </c>
      <c r="J28" s="15">
        <v>19.100000000000001</v>
      </c>
      <c r="K28" s="14">
        <v>6.8</v>
      </c>
      <c r="L28" s="14">
        <v>1</v>
      </c>
      <c r="M28" s="14">
        <v>2.2000000000000002</v>
      </c>
      <c r="N28" s="14">
        <v>9.25</v>
      </c>
      <c r="O28" s="14">
        <v>11.25</v>
      </c>
      <c r="P28" s="14">
        <v>0.06</v>
      </c>
      <c r="Q28" s="14">
        <v>1.05</v>
      </c>
      <c r="R28" s="14">
        <v>4</v>
      </c>
      <c r="S28" s="14">
        <v>1.0499999999999998</v>
      </c>
      <c r="T28" s="14">
        <v>1.09E-2</v>
      </c>
      <c r="U28" s="14">
        <v>2.3E-2</v>
      </c>
      <c r="V28" s="14">
        <v>59</v>
      </c>
      <c r="W28" s="14">
        <v>150</v>
      </c>
      <c r="X28" s="14">
        <f>33+1.1</f>
        <v>34.1</v>
      </c>
      <c r="Y28" s="16">
        <f t="shared" si="0"/>
        <v>6521.739130434783</v>
      </c>
      <c r="Z28" s="14">
        <v>71</v>
      </c>
      <c r="AA28" s="16">
        <v>4.58E-2</v>
      </c>
      <c r="AB28" s="14">
        <f t="shared" si="2"/>
        <v>45.8</v>
      </c>
      <c r="AC28" s="16">
        <f t="shared" si="1"/>
        <v>0.64507042253521119</v>
      </c>
      <c r="AD28" s="14">
        <v>9.9</v>
      </c>
      <c r="AE28" s="14">
        <v>20</v>
      </c>
      <c r="AF28" s="14">
        <v>29.9</v>
      </c>
      <c r="AG28" s="16">
        <v>908.25688073394497</v>
      </c>
      <c r="AH28" s="27">
        <v>869.56521739130437</v>
      </c>
      <c r="AI28" s="7"/>
    </row>
    <row r="29" spans="1:35">
      <c r="A29" s="26">
        <v>2014</v>
      </c>
      <c r="B29" s="14" t="s">
        <v>1</v>
      </c>
      <c r="C29" s="14" t="s">
        <v>54</v>
      </c>
      <c r="D29" s="14" t="s">
        <v>43</v>
      </c>
      <c r="E29" s="14" t="s">
        <v>61</v>
      </c>
      <c r="F29" s="14" t="s">
        <v>62</v>
      </c>
      <c r="G29" s="14" t="s">
        <v>73</v>
      </c>
      <c r="H29" s="14" t="s">
        <v>63</v>
      </c>
      <c r="I29" s="15">
        <v>4</v>
      </c>
      <c r="J29" s="15">
        <v>20</v>
      </c>
      <c r="K29" s="14">
        <v>6.6</v>
      </c>
      <c r="L29" s="14">
        <v>0.6</v>
      </c>
      <c r="M29" s="14">
        <v>1.1499999999999999</v>
      </c>
      <c r="N29" s="14">
        <v>9.4499999999999993</v>
      </c>
      <c r="O29" s="14">
        <v>11.6</v>
      </c>
      <c r="P29" s="14">
        <v>6.0999999999999999E-2</v>
      </c>
      <c r="Q29" s="14">
        <v>0.7</v>
      </c>
      <c r="R29" s="14">
        <v>1</v>
      </c>
      <c r="S29" s="14">
        <v>0.45</v>
      </c>
      <c r="T29" s="14">
        <v>6.9499999999999996E-3</v>
      </c>
      <c r="U29" s="14">
        <v>1.7000000000000001E-2</v>
      </c>
      <c r="V29" s="14">
        <v>57</v>
      </c>
      <c r="W29" s="14">
        <v>210</v>
      </c>
      <c r="X29" s="14">
        <v>3.6</v>
      </c>
      <c r="Y29" s="16">
        <f t="shared" si="0"/>
        <v>12352.941176470587</v>
      </c>
      <c r="Z29" s="14">
        <v>490</v>
      </c>
      <c r="AA29" s="16">
        <v>0.111</v>
      </c>
      <c r="AB29" s="14">
        <f t="shared" si="2"/>
        <v>111</v>
      </c>
      <c r="AC29" s="16">
        <f t="shared" si="1"/>
        <v>0.22653061224489796</v>
      </c>
      <c r="AD29" s="14">
        <v>13</v>
      </c>
      <c r="AE29" s="14">
        <v>34</v>
      </c>
      <c r="AF29" s="14">
        <v>47</v>
      </c>
      <c r="AG29" s="16">
        <v>1870.5035971223024</v>
      </c>
      <c r="AH29" s="27">
        <v>1999.9999999999998</v>
      </c>
      <c r="AI29" s="7"/>
    </row>
    <row r="30" spans="1:35">
      <c r="A30" s="26">
        <v>2014</v>
      </c>
      <c r="B30" s="14" t="s">
        <v>2</v>
      </c>
      <c r="C30" s="14" t="s">
        <v>54</v>
      </c>
      <c r="D30" s="14" t="s">
        <v>43</v>
      </c>
      <c r="E30" s="14" t="s">
        <v>61</v>
      </c>
      <c r="F30" s="14" t="s">
        <v>62</v>
      </c>
      <c r="G30" s="14" t="s">
        <v>73</v>
      </c>
      <c r="H30" s="14" t="s">
        <v>63</v>
      </c>
      <c r="I30" s="15">
        <v>3.5</v>
      </c>
      <c r="J30" s="15">
        <v>23.6</v>
      </c>
      <c r="K30" s="14">
        <v>7.2</v>
      </c>
      <c r="L30" s="14" t="s">
        <v>7</v>
      </c>
      <c r="M30" s="14">
        <v>1.85</v>
      </c>
      <c r="N30" s="14">
        <v>8.4</v>
      </c>
      <c r="O30" s="14">
        <v>10.6</v>
      </c>
      <c r="P30" s="14">
        <v>0.06</v>
      </c>
      <c r="Q30" s="14">
        <v>0.75</v>
      </c>
      <c r="R30" s="14">
        <v>2</v>
      </c>
      <c r="S30" s="14">
        <v>1</v>
      </c>
      <c r="T30" s="14">
        <v>4.7499999999999999E-3</v>
      </c>
      <c r="U30" s="14">
        <v>1.2999999999999999E-2</v>
      </c>
      <c r="V30" s="14">
        <v>62</v>
      </c>
      <c r="W30" s="14">
        <v>230</v>
      </c>
      <c r="X30" s="14">
        <v>6.1</v>
      </c>
      <c r="Y30" s="16">
        <f t="shared" si="0"/>
        <v>17692.307692307691</v>
      </c>
      <c r="Z30" s="14">
        <v>106</v>
      </c>
      <c r="AA30" s="16">
        <v>4.7E-2</v>
      </c>
      <c r="AB30" s="14">
        <f t="shared" si="2"/>
        <v>47</v>
      </c>
      <c r="AC30" s="16">
        <f t="shared" si="1"/>
        <v>0.44339622641509435</v>
      </c>
      <c r="AD30" s="14">
        <v>10</v>
      </c>
      <c r="AE30" s="14">
        <v>29</v>
      </c>
      <c r="AF30" s="14">
        <v>39</v>
      </c>
      <c r="AG30" s="16">
        <v>2105.2631578947371</v>
      </c>
      <c r="AH30" s="27">
        <v>2230.7692307692309</v>
      </c>
      <c r="AI30" s="7"/>
    </row>
    <row r="31" spans="1:35">
      <c r="A31" s="26">
        <v>2014</v>
      </c>
      <c r="B31" s="14" t="s">
        <v>3</v>
      </c>
      <c r="C31" s="14" t="s">
        <v>54</v>
      </c>
      <c r="D31" s="14" t="s">
        <v>43</v>
      </c>
      <c r="E31" s="14" t="s">
        <v>61</v>
      </c>
      <c r="F31" s="14" t="s">
        <v>62</v>
      </c>
      <c r="G31" s="14" t="s">
        <v>73</v>
      </c>
      <c r="H31" s="14" t="s">
        <v>63</v>
      </c>
      <c r="I31" s="15">
        <v>4.8</v>
      </c>
      <c r="J31" s="15">
        <v>15.3</v>
      </c>
      <c r="K31" s="14">
        <v>7.2</v>
      </c>
      <c r="L31" s="14">
        <v>0.64999999999999991</v>
      </c>
      <c r="M31" s="14">
        <v>2.2000000000000002</v>
      </c>
      <c r="N31" s="14">
        <v>9.4499999999999993</v>
      </c>
      <c r="O31" s="14">
        <v>11.05</v>
      </c>
      <c r="P31" s="14">
        <v>0.06</v>
      </c>
      <c r="Q31" s="14">
        <v>1.25</v>
      </c>
      <c r="R31" s="14">
        <v>1</v>
      </c>
      <c r="S31" s="14">
        <v>0.7</v>
      </c>
      <c r="T31" s="14">
        <v>5.7000000000000002E-3</v>
      </c>
      <c r="U31" s="14">
        <v>1.4E-2</v>
      </c>
      <c r="V31" s="14">
        <v>71</v>
      </c>
      <c r="W31" s="14">
        <v>260</v>
      </c>
      <c r="X31" s="14" t="s">
        <v>88</v>
      </c>
      <c r="Y31" s="16">
        <f t="shared" si="0"/>
        <v>18571.428571428572</v>
      </c>
      <c r="Z31" s="14">
        <v>23</v>
      </c>
      <c r="AA31" s="16">
        <v>2.7E-2</v>
      </c>
      <c r="AB31" s="14">
        <f t="shared" si="2"/>
        <v>27</v>
      </c>
      <c r="AC31" s="16">
        <f t="shared" si="1"/>
        <v>1.173913043478261</v>
      </c>
      <c r="AD31" s="14">
        <v>2.7</v>
      </c>
      <c r="AE31" s="14">
        <v>6.8</v>
      </c>
      <c r="AF31" s="14">
        <v>9.5</v>
      </c>
      <c r="AG31" s="16">
        <v>473.68421052631578</v>
      </c>
      <c r="AH31" s="27">
        <v>485.71428571428567</v>
      </c>
      <c r="AI31" s="7"/>
    </row>
    <row r="32" spans="1:35">
      <c r="A32" s="26">
        <v>2014</v>
      </c>
      <c r="B32" s="14" t="s">
        <v>6</v>
      </c>
      <c r="C32" s="14" t="s">
        <v>54</v>
      </c>
      <c r="D32" s="14" t="s">
        <v>43</v>
      </c>
      <c r="E32" s="14" t="s">
        <v>61</v>
      </c>
      <c r="F32" s="14" t="s">
        <v>62</v>
      </c>
      <c r="G32" s="14" t="s">
        <v>73</v>
      </c>
      <c r="H32" s="14" t="s">
        <v>63</v>
      </c>
      <c r="I32" s="15">
        <v>5.3</v>
      </c>
      <c r="J32" s="15">
        <v>9.6999999999999993</v>
      </c>
      <c r="K32" s="14">
        <v>6.9</v>
      </c>
      <c r="L32" s="14" t="s">
        <v>5</v>
      </c>
      <c r="M32" s="14">
        <v>1.2999999999999998</v>
      </c>
      <c r="N32" s="14">
        <v>11.149999999999999</v>
      </c>
      <c r="O32" s="14">
        <v>11.95</v>
      </c>
      <c r="P32" s="14">
        <v>7.0000000000000007E-2</v>
      </c>
      <c r="Q32" s="14">
        <v>0.64999999999999991</v>
      </c>
      <c r="R32" s="14">
        <v>1</v>
      </c>
      <c r="S32" s="14">
        <v>0.5</v>
      </c>
      <c r="T32" s="14">
        <v>4.8999999999999998E-3</v>
      </c>
      <c r="U32" s="14">
        <v>1.6E-2</v>
      </c>
      <c r="V32" s="14">
        <v>57</v>
      </c>
      <c r="W32" s="14">
        <v>240</v>
      </c>
      <c r="X32" s="14">
        <v>9.1</v>
      </c>
      <c r="Y32" s="16">
        <f t="shared" si="0"/>
        <v>15000</v>
      </c>
      <c r="Z32" s="14">
        <v>10</v>
      </c>
      <c r="AA32" s="16">
        <v>1.5800000000000002E-2</v>
      </c>
      <c r="AB32" s="14">
        <f t="shared" si="2"/>
        <v>15.8</v>
      </c>
      <c r="AC32" s="16">
        <f t="shared" si="1"/>
        <v>1.58</v>
      </c>
      <c r="AD32" s="17" t="s">
        <v>45</v>
      </c>
      <c r="AE32" s="14">
        <v>2.2000000000000002</v>
      </c>
      <c r="AF32" s="14">
        <v>2.2000000000000002</v>
      </c>
      <c r="AG32" s="25" t="s">
        <v>90</v>
      </c>
      <c r="AH32" s="27">
        <v>137.5</v>
      </c>
      <c r="AI32" s="7"/>
    </row>
    <row r="33" spans="1:35">
      <c r="A33" s="26">
        <v>2015</v>
      </c>
      <c r="B33" s="14" t="s">
        <v>1</v>
      </c>
      <c r="C33" s="14" t="s">
        <v>54</v>
      </c>
      <c r="D33" s="14" t="s">
        <v>43</v>
      </c>
      <c r="E33" s="14" t="s">
        <v>61</v>
      </c>
      <c r="F33" s="14" t="s">
        <v>62</v>
      </c>
      <c r="G33" s="14" t="s">
        <v>73</v>
      </c>
      <c r="H33" s="14" t="s">
        <v>63</v>
      </c>
      <c r="I33" s="15">
        <v>4.8</v>
      </c>
      <c r="J33" s="15">
        <v>17.899999999999999</v>
      </c>
      <c r="K33" s="14">
        <v>6.9</v>
      </c>
      <c r="L33" s="14">
        <v>0.8</v>
      </c>
      <c r="M33" s="14">
        <v>1.5</v>
      </c>
      <c r="N33" s="14">
        <v>8.8000000000000007</v>
      </c>
      <c r="O33" s="14">
        <v>11.45</v>
      </c>
      <c r="P33" s="14">
        <v>0.06</v>
      </c>
      <c r="Q33" s="14">
        <v>1.1499999999999999</v>
      </c>
      <c r="R33" s="14">
        <v>1</v>
      </c>
      <c r="S33" s="14">
        <v>0.4</v>
      </c>
      <c r="T33" s="14">
        <v>4.0499999999999998E-3</v>
      </c>
      <c r="U33" s="14">
        <v>1.2999999999999999E-2</v>
      </c>
      <c r="V33" s="14">
        <v>53</v>
      </c>
      <c r="W33" s="14">
        <v>230</v>
      </c>
      <c r="X33" s="14">
        <v>28</v>
      </c>
      <c r="Y33" s="16">
        <f t="shared" si="0"/>
        <v>17692.307692307691</v>
      </c>
      <c r="Z33" s="14">
        <v>10</v>
      </c>
      <c r="AA33" s="16">
        <v>2.1999999999999999E-2</v>
      </c>
      <c r="AB33" s="14">
        <f t="shared" si="2"/>
        <v>22</v>
      </c>
      <c r="AC33" s="16">
        <f t="shared" si="1"/>
        <v>2.2000000000000002</v>
      </c>
      <c r="AD33" s="14">
        <v>4.0999999999999996</v>
      </c>
      <c r="AE33" s="14">
        <v>15</v>
      </c>
      <c r="AF33" s="14">
        <v>19.100000000000001</v>
      </c>
      <c r="AG33" s="16">
        <v>1012.3456790123456</v>
      </c>
      <c r="AH33" s="27">
        <v>1153.8461538461538</v>
      </c>
      <c r="AI33" s="7"/>
    </row>
    <row r="34" spans="1:35">
      <c r="A34" s="26">
        <v>2016</v>
      </c>
      <c r="B34" s="14" t="s">
        <v>3</v>
      </c>
      <c r="C34" s="14" t="s">
        <v>54</v>
      </c>
      <c r="D34" s="14" t="s">
        <v>43</v>
      </c>
      <c r="E34" s="14" t="s">
        <v>61</v>
      </c>
      <c r="F34" s="14" t="s">
        <v>62</v>
      </c>
      <c r="G34" s="14" t="s">
        <v>73</v>
      </c>
      <c r="H34" s="14" t="s">
        <v>63</v>
      </c>
      <c r="I34" s="15">
        <v>4.8</v>
      </c>
      <c r="J34" s="15">
        <v>17.8</v>
      </c>
      <c r="K34" s="14">
        <v>6.6999999999999993</v>
      </c>
      <c r="L34" s="14">
        <v>1.35</v>
      </c>
      <c r="M34" s="14">
        <v>2.4</v>
      </c>
      <c r="N34" s="14">
        <v>9.3999999999999986</v>
      </c>
      <c r="O34" s="14">
        <v>11.4</v>
      </c>
      <c r="P34" s="14">
        <v>0.06</v>
      </c>
      <c r="Q34" s="14">
        <v>1.05</v>
      </c>
      <c r="R34" s="14" t="s">
        <v>88</v>
      </c>
      <c r="S34" s="14">
        <v>0.55000000000000004</v>
      </c>
      <c r="T34" s="14">
        <v>2.0999999999999999E-3</v>
      </c>
      <c r="U34" s="14">
        <v>9.75E-3</v>
      </c>
      <c r="V34" s="14">
        <v>67</v>
      </c>
      <c r="W34" s="14">
        <v>410</v>
      </c>
      <c r="X34" s="14">
        <v>2.2999999999999998</v>
      </c>
      <c r="Y34" s="16">
        <f t="shared" si="0"/>
        <v>42051.282051282054</v>
      </c>
      <c r="Z34" s="14">
        <v>39</v>
      </c>
      <c r="AA34" s="16">
        <v>0.03</v>
      </c>
      <c r="AB34" s="14">
        <f t="shared" si="2"/>
        <v>30</v>
      </c>
      <c r="AC34" s="16">
        <f t="shared" si="1"/>
        <v>0.76923076923076927</v>
      </c>
      <c r="AD34" s="14">
        <v>2.2999999999999998</v>
      </c>
      <c r="AE34" s="14">
        <v>13</v>
      </c>
      <c r="AF34" s="14">
        <v>15.3</v>
      </c>
      <c r="AG34" s="16">
        <v>1095.2380952380952</v>
      </c>
      <c r="AH34" s="27">
        <v>1333.3333333333333</v>
      </c>
      <c r="AI34" s="7"/>
    </row>
    <row r="35" spans="1:35">
      <c r="A35" s="26">
        <v>2017</v>
      </c>
      <c r="B35" s="14" t="s">
        <v>1</v>
      </c>
      <c r="C35" s="14" t="s">
        <v>54</v>
      </c>
      <c r="D35" s="14" t="s">
        <v>43</v>
      </c>
      <c r="E35" s="14" t="s">
        <v>61</v>
      </c>
      <c r="F35" s="14" t="s">
        <v>62</v>
      </c>
      <c r="G35" s="14" t="s">
        <v>73</v>
      </c>
      <c r="H35" s="14" t="s">
        <v>63</v>
      </c>
      <c r="I35" s="15">
        <v>3.5</v>
      </c>
      <c r="J35" s="15">
        <v>13.6</v>
      </c>
      <c r="K35" s="14">
        <v>6.85</v>
      </c>
      <c r="L35" s="14">
        <v>0.5</v>
      </c>
      <c r="M35" s="14">
        <v>1.4</v>
      </c>
      <c r="N35" s="14">
        <v>10.350000000000001</v>
      </c>
      <c r="O35" s="14">
        <v>11.05</v>
      </c>
      <c r="P35" s="14">
        <v>0.06</v>
      </c>
      <c r="Q35" s="14">
        <v>0.75</v>
      </c>
      <c r="R35" s="14" t="s">
        <v>88</v>
      </c>
      <c r="S35" s="14">
        <v>0.5</v>
      </c>
      <c r="T35" s="14">
        <v>1.1999999999999999E-3</v>
      </c>
      <c r="U35" s="14">
        <v>8.5499999999999986E-3</v>
      </c>
      <c r="V35" s="14">
        <v>28</v>
      </c>
      <c r="W35" s="14">
        <v>220</v>
      </c>
      <c r="X35" s="14" t="s">
        <v>88</v>
      </c>
      <c r="Y35" s="16">
        <f t="shared" si="0"/>
        <v>25730.994152046787</v>
      </c>
      <c r="Z35" s="14">
        <v>69</v>
      </c>
      <c r="AA35" s="16">
        <v>3.9E-2</v>
      </c>
      <c r="AB35" s="14">
        <f t="shared" si="2"/>
        <v>39</v>
      </c>
      <c r="AC35" s="16">
        <f t="shared" si="1"/>
        <v>0.56521739130434778</v>
      </c>
      <c r="AD35" s="14">
        <v>3.9</v>
      </c>
      <c r="AE35" s="14">
        <v>28</v>
      </c>
      <c r="AF35" s="14">
        <v>31.9</v>
      </c>
      <c r="AG35" s="16">
        <v>3250</v>
      </c>
      <c r="AH35" s="27">
        <v>3274.8538011695914</v>
      </c>
      <c r="AI35" s="7"/>
    </row>
    <row r="36" spans="1:35">
      <c r="A36" s="26">
        <v>2017</v>
      </c>
      <c r="B36" s="14" t="s">
        <v>2</v>
      </c>
      <c r="C36" s="14" t="s">
        <v>54</v>
      </c>
      <c r="D36" s="14" t="s">
        <v>43</v>
      </c>
      <c r="E36" s="14" t="s">
        <v>61</v>
      </c>
      <c r="F36" s="14" t="s">
        <v>62</v>
      </c>
      <c r="G36" s="14" t="s">
        <v>73</v>
      </c>
      <c r="H36" s="14" t="s">
        <v>63</v>
      </c>
      <c r="I36" s="15">
        <v>3.4</v>
      </c>
      <c r="J36" s="15">
        <v>24.1</v>
      </c>
      <c r="K36" s="14">
        <v>6.7</v>
      </c>
      <c r="L36" s="14" t="s">
        <v>5</v>
      </c>
      <c r="M36" s="14">
        <v>2.2000000000000002</v>
      </c>
      <c r="N36" s="14">
        <v>8.1999999999999993</v>
      </c>
      <c r="O36" s="14">
        <v>10.649999999999999</v>
      </c>
      <c r="P36" s="14">
        <v>0.06</v>
      </c>
      <c r="Q36" s="14">
        <v>0.85000000000000009</v>
      </c>
      <c r="R36" s="14">
        <v>1</v>
      </c>
      <c r="S36" s="14">
        <v>0.8</v>
      </c>
      <c r="T36" s="17" t="s">
        <v>10</v>
      </c>
      <c r="U36" s="14">
        <v>8.150000000000001E-3</v>
      </c>
      <c r="V36" s="14">
        <v>8.1999999999999993</v>
      </c>
      <c r="W36" s="14">
        <v>72</v>
      </c>
      <c r="X36" s="14" t="s">
        <v>88</v>
      </c>
      <c r="Y36" s="16">
        <f t="shared" si="0"/>
        <v>8834.3558282208578</v>
      </c>
      <c r="Z36" s="14">
        <v>110</v>
      </c>
      <c r="AA36" s="16">
        <v>8.1000000000000003E-2</v>
      </c>
      <c r="AB36" s="14">
        <f t="shared" si="2"/>
        <v>81</v>
      </c>
      <c r="AC36" s="16">
        <f t="shared" si="1"/>
        <v>0.73636363636363633</v>
      </c>
      <c r="AD36" s="14">
        <v>2.4</v>
      </c>
      <c r="AE36" s="14">
        <v>17</v>
      </c>
      <c r="AF36" s="14">
        <v>19.399999999999999</v>
      </c>
      <c r="AG36" s="25" t="s">
        <v>90</v>
      </c>
      <c r="AH36" s="27">
        <v>2085.8895705521468</v>
      </c>
      <c r="AI36" s="7"/>
    </row>
    <row r="37" spans="1:35">
      <c r="A37" s="26">
        <v>2017</v>
      </c>
      <c r="B37" s="14" t="s">
        <v>3</v>
      </c>
      <c r="C37" s="14" t="s">
        <v>54</v>
      </c>
      <c r="D37" s="14" t="s">
        <v>43</v>
      </c>
      <c r="E37" s="14" t="s">
        <v>61</v>
      </c>
      <c r="F37" s="14" t="s">
        <v>62</v>
      </c>
      <c r="G37" s="14" t="s">
        <v>73</v>
      </c>
      <c r="H37" s="14" t="s">
        <v>63</v>
      </c>
      <c r="I37" s="15">
        <v>3.5</v>
      </c>
      <c r="J37" s="15">
        <v>16.100000000000001</v>
      </c>
      <c r="K37" s="14">
        <v>7.25</v>
      </c>
      <c r="L37" s="14" t="s">
        <v>5</v>
      </c>
      <c r="M37" s="14">
        <v>1.75</v>
      </c>
      <c r="N37" s="14">
        <v>9.85</v>
      </c>
      <c r="O37" s="14">
        <v>10.75</v>
      </c>
      <c r="P37" s="14">
        <v>0.06</v>
      </c>
      <c r="Q37" s="14">
        <v>0.8</v>
      </c>
      <c r="R37" s="14" t="s">
        <v>88</v>
      </c>
      <c r="S37" s="14">
        <v>0.7</v>
      </c>
      <c r="T37" s="17" t="s">
        <v>10</v>
      </c>
      <c r="U37" s="14">
        <v>8.0499999999999999E-3</v>
      </c>
      <c r="V37" s="14">
        <v>22</v>
      </c>
      <c r="W37" s="14">
        <v>170</v>
      </c>
      <c r="X37" s="14">
        <v>2.7</v>
      </c>
      <c r="Y37" s="16">
        <f t="shared" si="0"/>
        <v>21118.012422360247</v>
      </c>
      <c r="Z37" s="14">
        <v>3</v>
      </c>
      <c r="AA37" s="16">
        <v>3.1E-2</v>
      </c>
      <c r="AB37" s="14">
        <f t="shared" si="2"/>
        <v>31</v>
      </c>
      <c r="AC37" s="16">
        <f t="shared" si="1"/>
        <v>10.333333333333334</v>
      </c>
      <c r="AD37" s="17" t="s">
        <v>46</v>
      </c>
      <c r="AE37" s="14" t="s">
        <v>88</v>
      </c>
      <c r="AF37" s="14" t="s">
        <v>88</v>
      </c>
      <c r="AG37" s="25" t="s">
        <v>90</v>
      </c>
      <c r="AH37" s="28" t="s">
        <v>90</v>
      </c>
      <c r="AI37" s="7"/>
    </row>
    <row r="38" spans="1:35">
      <c r="A38" s="26">
        <v>2017</v>
      </c>
      <c r="B38" s="14" t="s">
        <v>6</v>
      </c>
      <c r="C38" s="14" t="s">
        <v>54</v>
      </c>
      <c r="D38" s="14" t="s">
        <v>43</v>
      </c>
      <c r="E38" s="14" t="s">
        <v>61</v>
      </c>
      <c r="F38" s="14" t="s">
        <v>62</v>
      </c>
      <c r="G38" s="14" t="s">
        <v>73</v>
      </c>
      <c r="H38" s="14" t="s">
        <v>63</v>
      </c>
      <c r="I38" s="15">
        <v>3.5</v>
      </c>
      <c r="J38" s="15">
        <v>7.9</v>
      </c>
      <c r="K38" s="14">
        <v>7</v>
      </c>
      <c r="L38" s="14" t="s">
        <v>5</v>
      </c>
      <c r="M38" s="14">
        <v>1.7000000000000002</v>
      </c>
      <c r="N38" s="14">
        <v>11.399999999999999</v>
      </c>
      <c r="O38" s="14">
        <v>10.6</v>
      </c>
      <c r="P38" s="14">
        <v>0.06</v>
      </c>
      <c r="Q38" s="14">
        <v>0.9</v>
      </c>
      <c r="R38" s="14" t="s">
        <v>88</v>
      </c>
      <c r="S38" s="14">
        <v>0.4</v>
      </c>
      <c r="T38" s="17" t="s">
        <v>13</v>
      </c>
      <c r="U38" s="14">
        <v>7.1000000000000004E-3</v>
      </c>
      <c r="V38" s="14">
        <v>7.6</v>
      </c>
      <c r="W38" s="14">
        <v>55</v>
      </c>
      <c r="X38" s="14" t="s">
        <v>88</v>
      </c>
      <c r="Y38" s="16">
        <f t="shared" si="0"/>
        <v>7746.4788732394363</v>
      </c>
      <c r="Z38" s="14">
        <v>132</v>
      </c>
      <c r="AA38" s="16">
        <v>5.5E-2</v>
      </c>
      <c r="AB38" s="14">
        <f t="shared" si="2"/>
        <v>55</v>
      </c>
      <c r="AC38" s="16">
        <f t="shared" si="1"/>
        <v>0.41666666666666669</v>
      </c>
      <c r="AD38" s="17" t="s">
        <v>47</v>
      </c>
      <c r="AE38" s="14">
        <v>7.1</v>
      </c>
      <c r="AF38" s="14">
        <v>7.1</v>
      </c>
      <c r="AG38" s="25" t="s">
        <v>90</v>
      </c>
      <c r="AH38" s="27">
        <v>999.99999999999989</v>
      </c>
      <c r="AI38" s="7"/>
    </row>
    <row r="39" spans="1:35">
      <c r="A39" s="26">
        <v>2018</v>
      </c>
      <c r="B39" s="14" t="s">
        <v>2</v>
      </c>
      <c r="C39" s="14" t="s">
        <v>54</v>
      </c>
      <c r="D39" s="14" t="s">
        <v>43</v>
      </c>
      <c r="E39" s="14" t="s">
        <v>61</v>
      </c>
      <c r="F39" s="14" t="s">
        <v>62</v>
      </c>
      <c r="G39" s="14" t="s">
        <v>73</v>
      </c>
      <c r="H39" s="14" t="s">
        <v>63</v>
      </c>
      <c r="I39" s="15">
        <v>3.2</v>
      </c>
      <c r="J39" s="15">
        <v>23.6</v>
      </c>
      <c r="K39" s="14">
        <v>6.9</v>
      </c>
      <c r="L39" s="14">
        <v>0.75</v>
      </c>
      <c r="M39" s="14">
        <v>1.9500000000000002</v>
      </c>
      <c r="N39" s="14">
        <v>8.3999999999999986</v>
      </c>
      <c r="O39" s="14">
        <v>11.1</v>
      </c>
      <c r="P39" s="14">
        <v>0.06</v>
      </c>
      <c r="Q39" s="14">
        <v>0.85</v>
      </c>
      <c r="R39" s="14">
        <v>1</v>
      </c>
      <c r="S39" s="14">
        <v>0.65</v>
      </c>
      <c r="T39" s="17" t="s">
        <v>30</v>
      </c>
      <c r="U39" s="14">
        <v>7.1000000000000004E-3</v>
      </c>
      <c r="V39" s="14">
        <v>2.4</v>
      </c>
      <c r="W39" s="14">
        <v>38</v>
      </c>
      <c r="X39" s="14">
        <v>0.71</v>
      </c>
      <c r="Y39" s="16">
        <f t="shared" si="0"/>
        <v>5352.1126760563375</v>
      </c>
      <c r="Z39" s="14">
        <v>4</v>
      </c>
      <c r="AA39" s="16">
        <v>5.1000000000000004E-3</v>
      </c>
      <c r="AB39" s="14">
        <f t="shared" si="2"/>
        <v>5.1000000000000005</v>
      </c>
      <c r="AC39" s="16">
        <f t="shared" si="1"/>
        <v>1.2750000000000001</v>
      </c>
      <c r="AD39" s="17" t="s">
        <v>48</v>
      </c>
      <c r="AE39" s="14" t="s">
        <v>88</v>
      </c>
      <c r="AF39" s="14" t="s">
        <v>88</v>
      </c>
      <c r="AG39" s="25" t="s">
        <v>90</v>
      </c>
      <c r="AH39" s="28" t="s">
        <v>90</v>
      </c>
      <c r="AI39" s="7"/>
    </row>
    <row r="40" spans="1:35">
      <c r="A40" s="26">
        <v>2019</v>
      </c>
      <c r="B40" s="14" t="s">
        <v>2</v>
      </c>
      <c r="C40" s="14" t="s">
        <v>54</v>
      </c>
      <c r="D40" s="14" t="s">
        <v>43</v>
      </c>
      <c r="E40" s="14" t="s">
        <v>61</v>
      </c>
      <c r="F40" s="14" t="s">
        <v>62</v>
      </c>
      <c r="G40" s="14" t="s">
        <v>73</v>
      </c>
      <c r="H40" s="14" t="s">
        <v>63</v>
      </c>
      <c r="I40" s="15">
        <v>4.2</v>
      </c>
      <c r="J40" s="15">
        <v>25.6</v>
      </c>
      <c r="K40" s="14">
        <v>6.7</v>
      </c>
      <c r="L40" s="14">
        <v>0.8</v>
      </c>
      <c r="M40" s="14">
        <v>3.1999999999999997</v>
      </c>
      <c r="N40" s="14">
        <v>7.75</v>
      </c>
      <c r="O40" s="14">
        <v>11.55</v>
      </c>
      <c r="P40" s="14">
        <v>0.06</v>
      </c>
      <c r="Q40" s="14">
        <v>1.75</v>
      </c>
      <c r="R40" s="14">
        <v>4</v>
      </c>
      <c r="S40" s="14">
        <v>1.05</v>
      </c>
      <c r="T40" s="17" t="s">
        <v>12</v>
      </c>
      <c r="U40" s="14">
        <v>7.1000000000000004E-3</v>
      </c>
      <c r="V40" s="14">
        <v>18</v>
      </c>
      <c r="W40" s="14">
        <v>250</v>
      </c>
      <c r="X40" s="14" t="s">
        <v>88</v>
      </c>
      <c r="Y40" s="16">
        <f t="shared" si="0"/>
        <v>35211.267605633802</v>
      </c>
      <c r="Z40" s="14">
        <v>8</v>
      </c>
      <c r="AA40" s="16">
        <v>1.0999999999999999E-2</v>
      </c>
      <c r="AB40" s="14">
        <f t="shared" si="2"/>
        <v>11</v>
      </c>
      <c r="AC40" s="16">
        <f t="shared" si="1"/>
        <v>1.375</v>
      </c>
      <c r="AD40" s="17" t="s">
        <v>49</v>
      </c>
      <c r="AE40" s="14">
        <v>3.5</v>
      </c>
      <c r="AF40" s="14">
        <v>3.5</v>
      </c>
      <c r="AG40" s="25" t="s">
        <v>90</v>
      </c>
      <c r="AH40" s="27">
        <v>492.95774647887322</v>
      </c>
      <c r="AI40" s="7"/>
    </row>
    <row r="41" spans="1:35">
      <c r="A41" s="26">
        <v>2020</v>
      </c>
      <c r="B41" s="14" t="s">
        <v>1</v>
      </c>
      <c r="C41" s="14" t="s">
        <v>54</v>
      </c>
      <c r="D41" s="14" t="s">
        <v>43</v>
      </c>
      <c r="E41" s="14" t="s">
        <v>61</v>
      </c>
      <c r="F41" s="14" t="s">
        <v>62</v>
      </c>
      <c r="G41" s="14" t="s">
        <v>73</v>
      </c>
      <c r="H41" s="14" t="s">
        <v>63</v>
      </c>
      <c r="I41" s="15">
        <v>3.5</v>
      </c>
      <c r="J41" s="15">
        <v>20.9</v>
      </c>
      <c r="K41" s="14">
        <v>6.85</v>
      </c>
      <c r="L41" s="14">
        <v>0.75</v>
      </c>
      <c r="M41" s="14">
        <v>2.1</v>
      </c>
      <c r="N41" s="14">
        <v>8.75</v>
      </c>
      <c r="O41" s="14">
        <v>11.9</v>
      </c>
      <c r="P41" s="14">
        <v>0.06</v>
      </c>
      <c r="Q41" s="14">
        <v>1.05</v>
      </c>
      <c r="R41" s="14" t="s">
        <v>88</v>
      </c>
      <c r="S41" s="14">
        <v>0.8</v>
      </c>
      <c r="T41" s="17" t="s">
        <v>13</v>
      </c>
      <c r="U41" s="14">
        <v>5.1000000000000004E-3</v>
      </c>
      <c r="V41" s="14">
        <v>7.2</v>
      </c>
      <c r="W41" s="14">
        <v>110</v>
      </c>
      <c r="X41" s="14" t="s">
        <v>88</v>
      </c>
      <c r="Y41" s="16">
        <f t="shared" si="0"/>
        <v>21568.627450980392</v>
      </c>
      <c r="Z41" s="14">
        <v>158</v>
      </c>
      <c r="AA41" s="16">
        <v>7.4999999999999997E-2</v>
      </c>
      <c r="AB41" s="14">
        <f t="shared" si="2"/>
        <v>75</v>
      </c>
      <c r="AC41" s="16">
        <f t="shared" si="1"/>
        <v>0.47468354430379744</v>
      </c>
      <c r="AD41" s="17" t="s">
        <v>50</v>
      </c>
      <c r="AE41" s="14">
        <v>20</v>
      </c>
      <c r="AF41" s="14">
        <v>20</v>
      </c>
      <c r="AG41" s="25" t="s">
        <v>90</v>
      </c>
      <c r="AH41" s="27">
        <v>3921.5686274509803</v>
      </c>
      <c r="AI41" s="7"/>
    </row>
    <row r="42" spans="1:35" ht="16" thickBot="1">
      <c r="A42" s="29">
        <v>2020</v>
      </c>
      <c r="B42" s="30" t="s">
        <v>2</v>
      </c>
      <c r="C42" s="30" t="s">
        <v>54</v>
      </c>
      <c r="D42" s="30" t="s">
        <v>43</v>
      </c>
      <c r="E42" s="30" t="s">
        <v>61</v>
      </c>
      <c r="F42" s="30" t="s">
        <v>62</v>
      </c>
      <c r="G42" s="30" t="s">
        <v>73</v>
      </c>
      <c r="H42" s="30" t="s">
        <v>63</v>
      </c>
      <c r="I42" s="31">
        <v>3.8</v>
      </c>
      <c r="J42" s="31">
        <v>24.8</v>
      </c>
      <c r="K42" s="30">
        <v>7.15</v>
      </c>
      <c r="L42" s="30">
        <v>0.75</v>
      </c>
      <c r="M42" s="30">
        <v>2.0499999999999998</v>
      </c>
      <c r="N42" s="30">
        <v>9.1999999999999993</v>
      </c>
      <c r="O42" s="30">
        <v>10.8</v>
      </c>
      <c r="P42" s="30">
        <v>0.06</v>
      </c>
      <c r="Q42" s="30">
        <v>1.05</v>
      </c>
      <c r="R42" s="30" t="s">
        <v>88</v>
      </c>
      <c r="S42" s="30">
        <v>0.9</v>
      </c>
      <c r="T42" s="32" t="s">
        <v>12</v>
      </c>
      <c r="U42" s="30">
        <v>4.7000000000000002E-3</v>
      </c>
      <c r="V42" s="30">
        <v>7.7</v>
      </c>
      <c r="W42" s="30">
        <v>170</v>
      </c>
      <c r="X42" s="30" t="s">
        <v>88</v>
      </c>
      <c r="Y42" s="33">
        <f t="shared" si="0"/>
        <v>36170.212765957447</v>
      </c>
      <c r="Z42" s="30">
        <v>7</v>
      </c>
      <c r="AA42" s="33">
        <v>3.8999999999999998E-3</v>
      </c>
      <c r="AB42" s="30">
        <f t="shared" si="2"/>
        <v>3.9</v>
      </c>
      <c r="AC42" s="33">
        <f t="shared" si="1"/>
        <v>0.55714285714285716</v>
      </c>
      <c r="AD42" s="32" t="s">
        <v>51</v>
      </c>
      <c r="AE42" s="30">
        <v>6.9</v>
      </c>
      <c r="AF42" s="30">
        <v>6.9</v>
      </c>
      <c r="AG42" s="34" t="s">
        <v>90</v>
      </c>
      <c r="AH42" s="35">
        <v>1468.0851063829787</v>
      </c>
      <c r="AI42" s="7"/>
    </row>
    <row r="43" spans="1:35">
      <c r="AI43" s="7"/>
    </row>
    <row r="44" spans="1:35">
      <c r="A44" s="6"/>
      <c r="B44" s="5"/>
      <c r="AI44" s="7"/>
    </row>
    <row r="45" spans="1:35">
      <c r="A45" s="8" t="s">
        <v>89</v>
      </c>
      <c r="B45" s="9" t="s">
        <v>69</v>
      </c>
      <c r="AI45" s="7"/>
    </row>
    <row r="46" spans="1:35">
      <c r="A46" s="10"/>
      <c r="B46" s="9" t="s">
        <v>70</v>
      </c>
    </row>
  </sheetData>
  <mergeCells count="28">
    <mergeCell ref="F5:F6"/>
    <mergeCell ref="A5:A6"/>
    <mergeCell ref="B5:B6"/>
    <mergeCell ref="C5:C6"/>
    <mergeCell ref="D5:D6"/>
    <mergeCell ref="E5:E6"/>
    <mergeCell ref="R5:R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AG5:AH5"/>
    <mergeCell ref="S5:S6"/>
    <mergeCell ref="Z5:Z6"/>
    <mergeCell ref="AA5:AA6"/>
    <mergeCell ref="AB5:AB6"/>
    <mergeCell ref="AC5:AC6"/>
    <mergeCell ref="AF5:AF6"/>
    <mergeCell ref="T5:U5"/>
    <mergeCell ref="V5:W5"/>
    <mergeCell ref="AD5:AE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84F7F-9F79-4F46-B480-ECD7105FF2C5}">
  <dimension ref="A1:B53"/>
  <sheetViews>
    <sheetView workbookViewId="0">
      <selection activeCell="R11" sqref="R11"/>
    </sheetView>
  </sheetViews>
  <sheetFormatPr defaultRowHeight="14.5"/>
  <sheetData>
    <row r="1" spans="1:1" ht="15">
      <c r="A1" s="40" t="s">
        <v>105</v>
      </c>
    </row>
    <row r="2" spans="1:1" ht="15">
      <c r="A2" s="40" t="s">
        <v>106</v>
      </c>
    </row>
    <row r="3" spans="1:1">
      <c r="A3" s="41" t="s">
        <v>107</v>
      </c>
    </row>
    <row r="4" spans="1:1">
      <c r="A4" s="42" t="s">
        <v>108</v>
      </c>
    </row>
    <row r="53" spans="2:2">
      <c r="B53" t="s">
        <v>109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River_ERICA</vt:lpstr>
      <vt:lpstr>Lake_ERICA</vt:lpstr>
      <vt:lpstr>Supporting Fig.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ecoeng2021</dc:creator>
  <cp:lastModifiedBy>shrestha.a.k</cp:lastModifiedBy>
  <cp:lastPrinted>2023-07-11T11:03:55Z</cp:lastPrinted>
  <dcterms:created xsi:type="dcterms:W3CDTF">2023-07-10T02:08:03Z</dcterms:created>
  <dcterms:modified xsi:type="dcterms:W3CDTF">2025-03-31T12:43:25Z</dcterms:modified>
</cp:coreProperties>
</file>